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7.10.45\Data\Commerciale\MARKETING\TUNAP\TUNAP Community\NOVITA' 2019-2020-2021-2022\2022\PROGETTO SOSTENIBILITA'\nuovi tappi PCR\"/>
    </mc:Choice>
  </mc:AlternateContent>
  <xr:revisionPtr revIDLastSave="0" documentId="13_ncr:1_{B1C8D625-0D52-4923-9270-3661B2ACF0E3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Calcolatore impatto tappi PCR" sheetId="1" r:id="rId1"/>
    <sheet name="Quelle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33" i="2" l="1"/>
  <c r="J33" i="2"/>
  <c r="R32" i="2"/>
  <c r="P32" i="2"/>
  <c r="P33" i="2" s="1"/>
  <c r="N32" i="2"/>
  <c r="N33" i="2" s="1"/>
  <c r="L32" i="2"/>
  <c r="L33" i="2" s="1"/>
  <c r="K32" i="2"/>
  <c r="J32" i="2"/>
  <c r="H32" i="2"/>
  <c r="H33" i="2" s="1"/>
  <c r="F32" i="2"/>
  <c r="F33" i="2" s="1"/>
  <c r="D32" i="2"/>
  <c r="Q31" i="2" s="1"/>
  <c r="S31" i="2"/>
  <c r="M31" i="2"/>
  <c r="K31" i="2"/>
  <c r="E31" i="2"/>
  <c r="S30" i="2"/>
  <c r="M30" i="2"/>
  <c r="K30" i="2"/>
  <c r="E30" i="2"/>
  <c r="S29" i="2"/>
  <c r="M29" i="2"/>
  <c r="K29" i="2"/>
  <c r="E29" i="2"/>
  <c r="S28" i="2"/>
  <c r="M28" i="2"/>
  <c r="K28" i="2"/>
  <c r="E28" i="2"/>
  <c r="S27" i="2"/>
  <c r="M27" i="2"/>
  <c r="K27" i="2"/>
  <c r="E27" i="2"/>
  <c r="S26" i="2"/>
  <c r="M26" i="2"/>
  <c r="K26" i="2"/>
  <c r="E26" i="2"/>
  <c r="S25" i="2"/>
  <c r="M25" i="2"/>
  <c r="K25" i="2"/>
  <c r="E25" i="2"/>
  <c r="S24" i="2"/>
  <c r="M24" i="2"/>
  <c r="K24" i="2"/>
  <c r="E24" i="2"/>
  <c r="S23" i="2"/>
  <c r="M23" i="2"/>
  <c r="K23" i="2"/>
  <c r="E23" i="2"/>
  <c r="S22" i="2"/>
  <c r="M22" i="2"/>
  <c r="K22" i="2"/>
  <c r="E22" i="2"/>
  <c r="S21" i="2"/>
  <c r="S32" i="2" s="1"/>
  <c r="M21" i="2"/>
  <c r="M32" i="2" s="1"/>
  <c r="K21" i="2"/>
  <c r="E21" i="2"/>
  <c r="E32" i="2" s="1"/>
  <c r="J16" i="2"/>
  <c r="J15" i="2"/>
  <c r="T6" i="2"/>
  <c r="P6" i="2"/>
  <c r="V6" i="2" s="1"/>
  <c r="T5" i="2"/>
  <c r="P5" i="2"/>
  <c r="S5" i="2" s="1"/>
  <c r="T4" i="2"/>
  <c r="P4" i="2"/>
  <c r="V4" i="2" s="1"/>
  <c r="T3" i="2"/>
  <c r="P3" i="2"/>
  <c r="U3" i="2" s="1"/>
  <c r="G13" i="1"/>
  <c r="F13" i="1"/>
  <c r="G12" i="1"/>
  <c r="F12" i="1"/>
  <c r="G11" i="1"/>
  <c r="F11" i="1"/>
  <c r="G10" i="1"/>
  <c r="F10" i="1"/>
  <c r="G7" i="1"/>
  <c r="B18" i="1" l="1"/>
  <c r="V3" i="2"/>
  <c r="P7" i="2"/>
  <c r="D33" i="2"/>
  <c r="U5" i="2"/>
  <c r="G21" i="2"/>
  <c r="G32" i="2" s="1"/>
  <c r="G22" i="2"/>
  <c r="G23" i="2"/>
  <c r="G24" i="2"/>
  <c r="G25" i="2"/>
  <c r="G26" i="2"/>
  <c r="G27" i="2"/>
  <c r="G28" i="2"/>
  <c r="G29" i="2"/>
  <c r="G30" i="2"/>
  <c r="G31" i="2"/>
  <c r="S4" i="2"/>
  <c r="V5" i="2"/>
  <c r="I21" i="2"/>
  <c r="I22" i="2"/>
  <c r="I23" i="2"/>
  <c r="I24" i="2"/>
  <c r="I25" i="2"/>
  <c r="I26" i="2"/>
  <c r="I27" i="2"/>
  <c r="I28" i="2"/>
  <c r="I29" i="2"/>
  <c r="I30" i="2"/>
  <c r="I31" i="2"/>
  <c r="U4" i="2"/>
  <c r="S6" i="2"/>
  <c r="S3" i="2"/>
  <c r="O21" i="2"/>
  <c r="O22" i="2"/>
  <c r="O23" i="2"/>
  <c r="O24" i="2"/>
  <c r="O25" i="2"/>
  <c r="O26" i="2"/>
  <c r="O27" i="2"/>
  <c r="O28" i="2"/>
  <c r="O29" i="2"/>
  <c r="O30" i="2"/>
  <c r="O31" i="2"/>
  <c r="U6" i="2"/>
  <c r="Q21" i="2"/>
  <c r="Q32" i="2" s="1"/>
  <c r="Q22" i="2"/>
  <c r="Q23" i="2"/>
  <c r="Q24" i="2"/>
  <c r="Q25" i="2"/>
  <c r="Q26" i="2"/>
  <c r="Q27" i="2"/>
  <c r="Q28" i="2"/>
  <c r="Q29" i="2"/>
  <c r="Q30" i="2"/>
  <c r="R7" i="2" l="1"/>
  <c r="V7" i="2"/>
  <c r="D18" i="1"/>
  <c r="O32" i="2"/>
  <c r="Q7" i="2"/>
  <c r="I32" i="2"/>
  <c r="S7" i="2"/>
  <c r="F18" i="1" l="1"/>
  <c r="T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" authorId="0" shapeId="0" xr:uid="{00000000-0006-0000-0100-000001000000}">
      <text>
        <r>
          <rPr>
            <sz val="11"/>
            <color rgb="FF000000"/>
            <rFont val="Arial Narrow"/>
            <family val="2"/>
            <charset val="1"/>
          </rPr>
          <t xml:space="preserve">Vag, Elisabeth:
</t>
        </r>
        <r>
          <rPr>
            <sz val="9"/>
            <color rgb="FF000000"/>
            <rFont val="Segoe UI"/>
            <family val="2"/>
            <charset val="1"/>
          </rPr>
          <t>Von: Reutiner Str. 14 | D-72275 Alpirsbach
Nach: Bahnhofstr. 16 | D-09244 Lichtenau</t>
        </r>
      </text>
    </comment>
    <comment ref="J1" authorId="0" shapeId="0" xr:uid="{00000000-0006-0000-0100-000002000000}">
      <text>
        <r>
          <rPr>
            <sz val="11"/>
            <color rgb="FF000000"/>
            <rFont val="Arial Narrow"/>
            <family val="2"/>
            <charset val="1"/>
          </rPr>
          <t xml:space="preserve">Vag, Elisabeth:
</t>
        </r>
        <r>
          <rPr>
            <sz val="9"/>
            <color rgb="FF000000"/>
            <rFont val="Segoe UI"/>
            <family val="2"/>
            <charset val="1"/>
          </rPr>
          <t>Von: Bahnhofstr. 16 | D-09244 Lichtenau</t>
        </r>
      </text>
    </comment>
  </commentList>
</comments>
</file>

<file path=xl/sharedStrings.xml><?xml version="1.0" encoding="utf-8"?>
<sst xmlns="http://schemas.openxmlformats.org/spreadsheetml/2006/main" count="107" uniqueCount="76">
  <si>
    <t>kg</t>
  </si>
  <si>
    <t>Eingangslogistik (km)
(Lieferant - TUNAP)</t>
  </si>
  <si>
    <t>Anzahl Kappen</t>
  </si>
  <si>
    <t>Ausgangslogistik 2020 (%)
(TUNAP - Kunden)</t>
  </si>
  <si>
    <t>Produkt</t>
  </si>
  <si>
    <t>Durchmesser</t>
  </si>
  <si>
    <t>Liefermenge</t>
  </si>
  <si>
    <t>Gewicht [kg]</t>
  </si>
  <si>
    <t>Gewicht x Lieferanzahl [kg]</t>
  </si>
  <si>
    <t>Transportmittel</t>
  </si>
  <si>
    <t>voller LKW</t>
  </si>
  <si>
    <t>Durchmesser 
in mm</t>
  </si>
  <si>
    <t>Jahresmenge</t>
  </si>
  <si>
    <t>Primär- material
kg CO2/ 
1.000 Stk.</t>
  </si>
  <si>
    <t>PCR-Material 
kg CO2/ 
1.000 Stk.</t>
  </si>
  <si>
    <t>Einsparung Primärmaterial
in kg</t>
  </si>
  <si>
    <t>CO2 Emissions-minderung 
in %</t>
  </si>
  <si>
    <t>Anteil in %</t>
  </si>
  <si>
    <t>Einsparung CO2</t>
  </si>
  <si>
    <t>Primärmaterial 
Gewicht in kg 
/ 1,000 pcs</t>
  </si>
  <si>
    <t>PCR-Material 
Gewicht in kg  
/ 1,000 pcs</t>
  </si>
  <si>
    <t>VNMR45450 R05</t>
  </si>
  <si>
    <t>45 mm</t>
  </si>
  <si>
    <t>LKW</t>
  </si>
  <si>
    <t>PCR-VNMR45450 R05</t>
  </si>
  <si>
    <t>Europa</t>
  </si>
  <si>
    <t>davon Deutschland</t>
  </si>
  <si>
    <t>Asien</t>
  </si>
  <si>
    <t>Schiff, LKW</t>
  </si>
  <si>
    <t>VNMR52470 R00 D</t>
  </si>
  <si>
    <t>52 mm</t>
  </si>
  <si>
    <t>Americas, davon ca. 90% Brasilien</t>
  </si>
  <si>
    <t>Durchschnitt/Summe</t>
  </si>
  <si>
    <t>PCR-VNMR52470 R00 D</t>
  </si>
  <si>
    <t>VNMR57510 R00 D</t>
  </si>
  <si>
    <t>57 mm</t>
  </si>
  <si>
    <t>PCR-VNMR57510 R00 D</t>
  </si>
  <si>
    <t>VNMR65500 R00 D</t>
  </si>
  <si>
    <t>65 mm</t>
  </si>
  <si>
    <t>PCR-VNMR65500 R00 D</t>
  </si>
  <si>
    <t>ClimatePartner Report</t>
  </si>
  <si>
    <t>VNMR65500 R00 D (65mm) Virgin</t>
  </si>
  <si>
    <t>VNMR65500 R00 D (65mm) PCR</t>
  </si>
  <si>
    <t>VNMR57510 R00 D (57mm) Virgin</t>
  </si>
  <si>
    <t>VNMR57510 R00 D (57mm) PCR</t>
  </si>
  <si>
    <t>VNMR52470 R00 D (52mm) Virgin</t>
  </si>
  <si>
    <t>VNMR52470 R00 D (52mm) PCR</t>
  </si>
  <si>
    <t>kg CO2 / 1,000 pcs</t>
  </si>
  <si>
    <t>%</t>
  </si>
  <si>
    <t>Materialbeschaffung und Vorverarbeitung</t>
  </si>
  <si>
    <t>Rohstoffe</t>
  </si>
  <si>
    <t>Eingangslogistik</t>
  </si>
  <si>
    <t>Produktion</t>
  </si>
  <si>
    <t>Strom</t>
  </si>
  <si>
    <t>Verteilung und Lagerung</t>
  </si>
  <si>
    <t>Ausgangslogistik</t>
  </si>
  <si>
    <t>Entsorgung</t>
  </si>
  <si>
    <t>Nicht zurechenbare Prozesse</t>
  </si>
  <si>
    <t>Gemeinemissionen</t>
  </si>
  <si>
    <t>Gesamtergebnis</t>
  </si>
  <si>
    <t>Auszugleichende CO₂-Emissionen inkl. 10% Sicherheitsaufschlag</t>
  </si>
  <si>
    <t>Calcolo per il risparmio di CO2 e nuova plastica attraverso il tappo PCR sostenibile</t>
  </si>
  <si>
    <t>Cliente:</t>
  </si>
  <si>
    <t>Data:</t>
  </si>
  <si>
    <t>Risparmio CO2</t>
  </si>
  <si>
    <t>Riduzione impronta di CO2</t>
  </si>
  <si>
    <t xml:space="preserve">Risparmio di materiale </t>
  </si>
  <si>
    <t>Diametro
in mm</t>
  </si>
  <si>
    <t>Materiale PCR
kg CO2/ 
1.000 pezzi</t>
  </si>
  <si>
    <t>Riduzione di emissioni CO2
in %</t>
  </si>
  <si>
    <r>
      <t xml:space="preserve">
</t>
    </r>
    <r>
      <rPr>
        <b/>
        <sz val="12"/>
        <color rgb="FF92D050"/>
        <rFont val="Arial"/>
        <family val="2"/>
      </rPr>
      <t>Passando ai tappi PCR stai apportando il seguente contributo all'ambiente:</t>
    </r>
  </si>
  <si>
    <t>Quantità annuale</t>
  </si>
  <si>
    <r>
      <rPr>
        <sz val="7"/>
        <color rgb="FF44546A"/>
        <rFont val="Arial"/>
        <family val="2"/>
      </rPr>
      <t>*Calcolo basato su studi effettuati da ClimatePartner e TUNAP GmbH &amp; Co. KG</t>
    </r>
    <r>
      <rPr>
        <sz val="7"/>
        <color rgb="FF44546A"/>
        <rFont val="Meta OT"/>
        <family val="2"/>
        <charset val="1"/>
      </rPr>
      <t xml:space="preserve">
</t>
    </r>
  </si>
  <si>
    <t>Materie prime in
kg CO2/ 
1.000 pezzi</t>
  </si>
  <si>
    <t>Materie prime
risparmio in kg</t>
  </si>
  <si>
    <r>
      <t xml:space="preserve">PCR riciclato post-consumo:
</t>
    </r>
    <r>
      <rPr>
        <sz val="12"/>
        <color rgb="FF44546A"/>
        <rFont val="Arial"/>
        <family val="2"/>
      </rPr>
      <t xml:space="preserve">-plastica riciclata da rifiuti domestici e commerciali;
-non si effettua il processo di combustione e smaltimento ma si riutilizza la plastica creando granulato che viene così riutilizzato completamente per la produzione di nuovi tappi;
-produzione più sostenibile e tappo 100% riciclato.
</t>
    </r>
    <r>
      <rPr>
        <b/>
        <sz val="12"/>
        <color rgb="FF44546A"/>
        <rFont val="Arial"/>
        <family val="2"/>
      </rPr>
      <t xml:space="preserve">
Grigio è il nuovo green:
</t>
    </r>
    <r>
      <rPr>
        <sz val="12"/>
        <color rgb="FF44546A"/>
        <rFont val="Arial"/>
        <family val="2"/>
      </rPr>
      <t>-la non colorazione della plastica riciclata risparmia risorse in quanto non è necessario aggiungere pigmenti coloranti e non richiede risorse per lo smistamento del colore;
-i tappi in PCR non colorati hanno la miglior disponibilità sul mercato: questo è un fattore importante sopratutto per questo particolare periodo storico.</t>
    </r>
    <r>
      <rPr>
        <b/>
        <sz val="12"/>
        <color rgb="FF44546A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2"/>
        <color rgb="FF44546A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</t>
    </r>
    <r>
      <rPr>
        <b/>
        <sz val="12"/>
        <color rgb="FF44546A"/>
        <rFont val="Arial"/>
        <family val="2"/>
      </rPr>
      <t>Visione:</t>
    </r>
    <r>
      <rPr>
        <sz val="12"/>
        <color rgb="FF44546A"/>
        <rFont val="Arial"/>
        <family val="2"/>
      </rPr>
      <t xml:space="preserve"> TUNAP non solo si impegna ogni giorno per trovare soluzioni chimiche più sostenibili, ma lavora anche con i suoi fornitori per individuare opportunità al fine di trovare componenti di imballaggio dei prodotti più sostenibili.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</si>
</sst>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_-;\-* #,##0.00_-;_-* \-??_-;_-@_-"/>
    <numFmt numFmtId="165" formatCode="#,##0_ ;\-#,##0\ "/>
    <numFmt numFmtId="166" formatCode="#,##0.0000_ ;[Red]\-#,##0.0000\ "/>
    <numFmt numFmtId="167" formatCode="#,##0_ ;[Red]\-#,##0\ "/>
    <numFmt numFmtId="168" formatCode="_-* #,##0_-;\-* #,##0_-;_-* \-??_-;_-@_-"/>
    <numFmt numFmtId="169" formatCode="0.0%"/>
    <numFmt numFmtId="170" formatCode="_-* #,##0\ _€_-;\-* #,##0\ _€_-;_-* \-??\ _€_-;_-@_-"/>
    <numFmt numFmtId="171" formatCode="#,##0.0_ ;[Red]\-#,##0.0\ "/>
    <numFmt numFmtId="172" formatCode="_-* #,##0.0_-;\-* #,##0.0_-;_-* \-??_-;_-@_-"/>
    <numFmt numFmtId="173" formatCode="0.0"/>
  </numFmts>
  <fonts count="24">
    <font>
      <sz val="11"/>
      <color rgb="FF000000"/>
      <name val="Arial Narrow"/>
      <family val="2"/>
      <charset val="1"/>
    </font>
    <font>
      <sz val="11"/>
      <color rgb="FF000000"/>
      <name val="Meta OT"/>
      <family val="2"/>
      <charset val="1"/>
    </font>
    <font>
      <b/>
      <sz val="24"/>
      <color rgb="FF44546A"/>
      <name val="Meta OT"/>
      <family val="2"/>
      <charset val="1"/>
    </font>
    <font>
      <sz val="12"/>
      <color rgb="FF000000"/>
      <name val="Meta OT"/>
      <family val="2"/>
      <charset val="1"/>
    </font>
    <font>
      <b/>
      <sz val="14"/>
      <color rgb="FF44546A"/>
      <name val="Meta OT"/>
      <family val="2"/>
      <charset val="1"/>
    </font>
    <font>
      <b/>
      <sz val="12"/>
      <color rgb="FF44546A"/>
      <name val="Meta OT Black"/>
      <family val="2"/>
      <charset val="1"/>
    </font>
    <font>
      <sz val="11"/>
      <color rgb="FF44546A"/>
      <name val="Meta OT Medium"/>
      <family val="2"/>
      <charset val="1"/>
    </font>
    <font>
      <sz val="7"/>
      <color rgb="FF44546A"/>
      <name val="Meta OT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Meta OT"/>
      <family val="2"/>
      <charset val="1"/>
    </font>
    <font>
      <sz val="11"/>
      <name val="Calibri"/>
      <family val="2"/>
      <charset val="1"/>
    </font>
    <font>
      <sz val="11"/>
      <color rgb="FF7F7F7F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808080"/>
      <name val="Calibri"/>
      <family val="2"/>
      <charset val="1"/>
    </font>
    <font>
      <b/>
      <sz val="11"/>
      <color rgb="FF000000"/>
      <name val="Arial Narrow"/>
      <family val="2"/>
      <charset val="1"/>
    </font>
    <font>
      <b/>
      <i/>
      <sz val="11"/>
      <color rgb="FF000000"/>
      <name val="Arial Narrow"/>
      <family val="2"/>
      <charset val="1"/>
    </font>
    <font>
      <sz val="9"/>
      <color rgb="FF000000"/>
      <name val="Segoe UI"/>
      <family val="2"/>
      <charset val="1"/>
    </font>
    <font>
      <sz val="11"/>
      <color rgb="FF000000"/>
      <name val="Arial Narrow"/>
      <family val="2"/>
      <charset val="1"/>
    </font>
    <font>
      <sz val="12"/>
      <color rgb="FF000000"/>
      <name val="Arial"/>
      <family val="2"/>
    </font>
    <font>
      <b/>
      <sz val="12"/>
      <color rgb="FF44546A"/>
      <name val="Arial"/>
      <family val="2"/>
    </font>
    <font>
      <sz val="12"/>
      <color rgb="FF44546A"/>
      <name val="Arial"/>
      <family val="2"/>
    </font>
    <font>
      <b/>
      <sz val="12"/>
      <color rgb="FF92D050"/>
      <name val="Arial"/>
      <family val="2"/>
    </font>
    <font>
      <sz val="7"/>
      <color rgb="FF44546A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BDD7EE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8" fillId="0" borderId="0" applyBorder="0" applyProtection="0"/>
    <xf numFmtId="9" fontId="18" fillId="0" borderId="0" applyBorder="0" applyProtection="0"/>
  </cellStyleXfs>
  <cellXfs count="104">
    <xf numFmtId="0" fontId="0" fillId="0" borderId="0" xfId="0"/>
    <xf numFmtId="0" fontId="1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166" fontId="0" fillId="2" borderId="0" xfId="1" applyNumberFormat="1" applyFont="1" applyFill="1" applyBorder="1" applyProtection="1"/>
    <xf numFmtId="166" fontId="8" fillId="2" borderId="0" xfId="1" applyNumberFormat="1" applyFont="1" applyFill="1" applyBorder="1" applyProtection="1"/>
    <xf numFmtId="166" fontId="8" fillId="2" borderId="10" xfId="1" applyNumberFormat="1" applyFont="1" applyFill="1" applyBorder="1" applyAlignment="1" applyProtection="1">
      <alignment horizontal="left" wrapText="1"/>
    </xf>
    <xf numFmtId="0" fontId="0" fillId="2" borderId="0" xfId="0" applyFill="1"/>
    <xf numFmtId="0" fontId="8" fillId="2" borderId="0" xfId="0" applyFont="1" applyFill="1"/>
    <xf numFmtId="166" fontId="8" fillId="0" borderId="0" xfId="1" applyNumberFormat="1" applyFont="1" applyBorder="1" applyAlignment="1" applyProtection="1">
      <alignment wrapText="1"/>
    </xf>
    <xf numFmtId="166" fontId="8" fillId="2" borderId="0" xfId="1" applyNumberFormat="1" applyFont="1" applyFill="1" applyBorder="1" applyAlignment="1" applyProtection="1">
      <alignment wrapText="1"/>
    </xf>
    <xf numFmtId="166" fontId="9" fillId="2" borderId="10" xfId="1" applyNumberFormat="1" applyFont="1" applyFill="1" applyBorder="1" applyProtection="1"/>
    <xf numFmtId="0" fontId="5" fillId="3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center" vertical="center" wrapText="1"/>
    </xf>
    <xf numFmtId="166" fontId="11" fillId="0" borderId="0" xfId="1" applyNumberFormat="1" applyFont="1" applyBorder="1" applyProtection="1"/>
    <xf numFmtId="167" fontId="11" fillId="0" borderId="0" xfId="1" applyNumberFormat="1" applyFont="1" applyBorder="1" applyProtection="1"/>
    <xf numFmtId="167" fontId="0" fillId="0" borderId="0" xfId="1" applyNumberFormat="1" applyFont="1" applyBorder="1" applyProtection="1"/>
    <xf numFmtId="166" fontId="0" fillId="0" borderId="0" xfId="1" applyNumberFormat="1" applyFont="1" applyBorder="1" applyProtection="1"/>
    <xf numFmtId="0" fontId="6" fillId="3" borderId="4" xfId="0" applyFont="1" applyFill="1" applyBorder="1" applyAlignment="1">
      <alignment horizontal="center" vertical="center"/>
    </xf>
    <xf numFmtId="165" fontId="6" fillId="3" borderId="5" xfId="1" applyNumberFormat="1" applyFont="1" applyFill="1" applyBorder="1" applyAlignment="1" applyProtection="1">
      <alignment horizontal="center" vertical="center"/>
      <protection locked="0"/>
    </xf>
    <xf numFmtId="165" fontId="6" fillId="3" borderId="5" xfId="1" applyNumberFormat="1" applyFont="1" applyFill="1" applyBorder="1" applyAlignment="1" applyProtection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9" fontId="6" fillId="3" borderId="6" xfId="2" applyFont="1" applyFill="1" applyBorder="1" applyAlignment="1" applyProtection="1">
      <alignment horizontal="center" vertical="center"/>
    </xf>
    <xf numFmtId="9" fontId="1" fillId="4" borderId="0" xfId="2" applyFont="1" applyFill="1" applyBorder="1" applyAlignment="1" applyProtection="1">
      <alignment horizontal="center"/>
    </xf>
    <xf numFmtId="168" fontId="1" fillId="4" borderId="0" xfId="1" applyNumberFormat="1" applyFont="1" applyFill="1" applyBorder="1" applyAlignment="1" applyProtection="1">
      <alignment horizontal="center"/>
    </xf>
    <xf numFmtId="164" fontId="1" fillId="4" borderId="0" xfId="1" applyFont="1" applyFill="1" applyBorder="1" applyAlignment="1" applyProtection="1">
      <alignment horizontal="center"/>
    </xf>
    <xf numFmtId="166" fontId="12" fillId="0" borderId="0" xfId="1" applyNumberFormat="1" applyFont="1" applyBorder="1" applyProtection="1"/>
    <xf numFmtId="167" fontId="12" fillId="0" borderId="0" xfId="1" applyNumberFormat="1" applyFont="1" applyBorder="1" applyProtection="1"/>
    <xf numFmtId="169" fontId="11" fillId="0" borderId="0" xfId="2" applyNumberFormat="1" applyFont="1" applyBorder="1" applyProtection="1"/>
    <xf numFmtId="166" fontId="13" fillId="0" borderId="0" xfId="1" applyNumberFormat="1" applyFont="1" applyBorder="1" applyProtection="1"/>
    <xf numFmtId="10" fontId="13" fillId="0" borderId="0" xfId="2" applyNumberFormat="1" applyFont="1" applyBorder="1" applyProtection="1"/>
    <xf numFmtId="10" fontId="14" fillId="0" borderId="0" xfId="2" applyNumberFormat="1" applyFont="1" applyBorder="1" applyAlignment="1" applyProtection="1">
      <alignment horizontal="left" indent="1"/>
    </xf>
    <xf numFmtId="169" fontId="14" fillId="0" borderId="0" xfId="2" applyNumberFormat="1" applyFont="1" applyBorder="1" applyProtection="1"/>
    <xf numFmtId="10" fontId="14" fillId="0" borderId="0" xfId="2" applyNumberFormat="1" applyFont="1" applyBorder="1" applyProtection="1"/>
    <xf numFmtId="0" fontId="6" fillId="3" borderId="7" xfId="0" applyFont="1" applyFill="1" applyBorder="1" applyAlignment="1">
      <alignment horizontal="center" vertical="center"/>
    </xf>
    <xf numFmtId="165" fontId="6" fillId="3" borderId="8" xfId="1" applyNumberFormat="1" applyFont="1" applyFill="1" applyBorder="1" applyAlignment="1" applyProtection="1">
      <alignment horizontal="center" vertical="center"/>
    </xf>
    <xf numFmtId="1" fontId="6" fillId="3" borderId="8" xfId="0" applyNumberFormat="1" applyFont="1" applyFill="1" applyBorder="1" applyAlignment="1">
      <alignment horizontal="center" vertical="center"/>
    </xf>
    <xf numFmtId="9" fontId="6" fillId="3" borderId="9" xfId="2" applyFont="1" applyFill="1" applyBorder="1" applyAlignment="1" applyProtection="1">
      <alignment horizontal="center" vertical="center"/>
    </xf>
    <xf numFmtId="0" fontId="10" fillId="4" borderId="0" xfId="0" applyFont="1" applyFill="1"/>
    <xf numFmtId="168" fontId="10" fillId="4" borderId="0" xfId="0" applyNumberFormat="1" applyFont="1" applyFill="1"/>
    <xf numFmtId="1" fontId="10" fillId="4" borderId="0" xfId="0" applyNumberFormat="1" applyFont="1" applyFill="1" applyAlignment="1">
      <alignment horizontal="center"/>
    </xf>
    <xf numFmtId="168" fontId="10" fillId="4" borderId="0" xfId="1" applyNumberFormat="1" applyFont="1" applyFill="1" applyBorder="1" applyAlignment="1" applyProtection="1">
      <alignment horizontal="center"/>
    </xf>
    <xf numFmtId="9" fontId="10" fillId="4" borderId="0" xfId="2" applyFont="1" applyFill="1" applyBorder="1" applyAlignment="1" applyProtection="1">
      <alignment horizontal="center"/>
    </xf>
    <xf numFmtId="0" fontId="1" fillId="4" borderId="0" xfId="0" applyFont="1" applyFill="1"/>
    <xf numFmtId="168" fontId="1" fillId="4" borderId="0" xfId="1" applyNumberFormat="1" applyFont="1" applyFill="1" applyBorder="1" applyProtection="1"/>
    <xf numFmtId="0" fontId="1" fillId="4" borderId="0" xfId="0" applyFont="1" applyFill="1" applyAlignment="1">
      <alignment horizontal="center"/>
    </xf>
    <xf numFmtId="170" fontId="1" fillId="4" borderId="0" xfId="0" applyNumberFormat="1" applyFont="1" applyFill="1" applyAlignment="1">
      <alignment horizontal="center"/>
    </xf>
    <xf numFmtId="171" fontId="12" fillId="0" borderId="0" xfId="1" applyNumberFormat="1" applyFont="1" applyBorder="1" applyProtection="1"/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/>
    <xf numFmtId="172" fontId="15" fillId="0" borderId="0" xfId="1" applyNumberFormat="1" applyFont="1" applyBorder="1" applyProtection="1"/>
    <xf numFmtId="173" fontId="15" fillId="0" borderId="0" xfId="0" applyNumberFormat="1" applyFont="1"/>
    <xf numFmtId="173" fontId="0" fillId="0" borderId="0" xfId="0" applyNumberFormat="1"/>
    <xf numFmtId="173" fontId="0" fillId="0" borderId="0" xfId="1" applyNumberFormat="1" applyFont="1" applyBorder="1" applyProtection="1"/>
    <xf numFmtId="2" fontId="0" fillId="0" borderId="0" xfId="0" applyNumberFormat="1"/>
    <xf numFmtId="173" fontId="15" fillId="0" borderId="0" xfId="1" applyNumberFormat="1" applyFont="1" applyBorder="1" applyProtection="1"/>
    <xf numFmtId="0" fontId="0" fillId="0" borderId="10" xfId="0" applyBorder="1"/>
    <xf numFmtId="173" fontId="0" fillId="0" borderId="10" xfId="0" applyNumberFormat="1" applyBorder="1"/>
    <xf numFmtId="173" fontId="0" fillId="0" borderId="10" xfId="1" applyNumberFormat="1" applyFont="1" applyBorder="1" applyProtection="1"/>
    <xf numFmtId="0" fontId="15" fillId="0" borderId="10" xfId="0" applyFont="1" applyBorder="1"/>
    <xf numFmtId="1" fontId="15" fillId="0" borderId="10" xfId="0" applyNumberFormat="1" applyFont="1" applyBorder="1"/>
    <xf numFmtId="2" fontId="15" fillId="0" borderId="10" xfId="0" applyNumberFormat="1" applyFont="1" applyBorder="1"/>
    <xf numFmtId="0" fontId="16" fillId="0" borderId="10" xfId="0" applyFont="1" applyBorder="1"/>
    <xf numFmtId="2" fontId="16" fillId="0" borderId="10" xfId="0" applyNumberFormat="1" applyFont="1" applyBorder="1"/>
    <xf numFmtId="0" fontId="19" fillId="0" borderId="0" xfId="0" applyFont="1" applyAlignment="1">
      <alignment vertical="top" wrapText="1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9" fillId="0" borderId="0" xfId="0" applyFont="1"/>
    <xf numFmtId="0" fontId="21" fillId="0" borderId="0" xfId="0" applyFont="1" applyAlignment="1">
      <alignment vertical="center"/>
    </xf>
    <xf numFmtId="14" fontId="20" fillId="0" borderId="0" xfId="0" applyNumberFormat="1" applyFont="1" applyAlignment="1" applyProtection="1">
      <alignment vertical="center"/>
      <protection locked="0"/>
    </xf>
    <xf numFmtId="14" fontId="20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165" fontId="21" fillId="0" borderId="5" xfId="1" applyNumberFormat="1" applyFont="1" applyBorder="1" applyAlignment="1" applyProtection="1">
      <alignment horizontal="center" vertical="center"/>
      <protection locked="0"/>
    </xf>
    <xf numFmtId="165" fontId="21" fillId="0" borderId="5" xfId="1" applyNumberFormat="1" applyFont="1" applyBorder="1" applyAlignment="1" applyProtection="1">
      <alignment horizontal="center" vertical="center"/>
    </xf>
    <xf numFmtId="1" fontId="21" fillId="0" borderId="5" xfId="0" applyNumberFormat="1" applyFont="1" applyBorder="1" applyAlignment="1">
      <alignment horizontal="center" vertical="center"/>
    </xf>
    <xf numFmtId="9" fontId="21" fillId="0" borderId="6" xfId="2" applyFont="1" applyBorder="1" applyAlignment="1" applyProtection="1">
      <alignment horizontal="center" vertical="center"/>
    </xf>
    <xf numFmtId="0" fontId="21" fillId="0" borderId="7" xfId="0" applyFont="1" applyBorder="1" applyAlignment="1">
      <alignment horizontal="center" vertical="center"/>
    </xf>
    <xf numFmtId="165" fontId="21" fillId="0" borderId="8" xfId="1" applyNumberFormat="1" applyFont="1" applyBorder="1" applyAlignment="1" applyProtection="1">
      <alignment horizontal="center" vertical="center"/>
      <protection locked="0"/>
    </xf>
    <xf numFmtId="165" fontId="21" fillId="0" borderId="8" xfId="1" applyNumberFormat="1" applyFont="1" applyBorder="1" applyAlignment="1" applyProtection="1">
      <alignment horizontal="center" vertical="center"/>
    </xf>
    <xf numFmtId="1" fontId="21" fillId="0" borderId="8" xfId="0" applyNumberFormat="1" applyFont="1" applyBorder="1" applyAlignment="1">
      <alignment horizontal="center" vertical="center"/>
    </xf>
    <xf numFmtId="9" fontId="21" fillId="0" borderId="9" xfId="2" applyFont="1" applyBorder="1" applyAlignment="1" applyProtection="1">
      <alignment horizontal="center" vertical="center"/>
    </xf>
    <xf numFmtId="3" fontId="20" fillId="0" borderId="0" xfId="1" applyNumberFormat="1" applyFont="1" applyBorder="1" applyAlignment="1" applyProtection="1">
      <alignment horizontal="left" vertical="top" wrapText="1"/>
    </xf>
    <xf numFmtId="9" fontId="20" fillId="0" borderId="0" xfId="2" applyFont="1" applyBorder="1" applyAlignment="1" applyProtection="1">
      <alignment horizontal="left" vertical="top" indent="3"/>
    </xf>
    <xf numFmtId="9" fontId="20" fillId="0" borderId="0" xfId="2" applyFont="1" applyBorder="1" applyAlignment="1" applyProtection="1">
      <alignment horizontal="left" vertical="top"/>
    </xf>
    <xf numFmtId="0" fontId="20" fillId="0" borderId="0" xfId="0" applyFont="1" applyAlignment="1">
      <alignment vertical="top"/>
    </xf>
    <xf numFmtId="9" fontId="20" fillId="0" borderId="0" xfId="2" applyFont="1" applyBorder="1" applyAlignment="1" applyProtection="1">
      <alignment vertical="center"/>
    </xf>
    <xf numFmtId="0" fontId="19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top" wrapText="1" indent="1"/>
    </xf>
    <xf numFmtId="3" fontId="20" fillId="0" borderId="0" xfId="1" applyNumberFormat="1" applyFont="1" applyBorder="1" applyAlignment="1" applyProtection="1">
      <alignment horizontal="center" vertical="center" wrapText="1"/>
    </xf>
    <xf numFmtId="164" fontId="20" fillId="0" borderId="0" xfId="1" applyFont="1" applyBorder="1" applyAlignment="1" applyProtection="1">
      <alignment horizontal="center" vertical="top"/>
    </xf>
    <xf numFmtId="166" fontId="8" fillId="2" borderId="10" xfId="1" applyNumberFormat="1" applyFont="1" applyFill="1" applyBorder="1" applyAlignment="1" applyProtection="1">
      <alignment horizontal="left" wrapText="1"/>
    </xf>
    <xf numFmtId="166" fontId="8" fillId="2" borderId="0" xfId="1" applyNumberFormat="1" applyFont="1" applyFill="1" applyBorder="1" applyAlignment="1" applyProtection="1">
      <alignment horizontal="center" wrapText="1"/>
    </xf>
  </cellXfs>
  <cellStyles count="3">
    <cellStyle name="Migliaia" xfId="1" builtinId="3"/>
    <cellStyle name="Normale" xfId="0" builtinId="0"/>
    <cellStyle name="Percentuale" xfId="2" builtinId="5"/>
  </cellStyles>
  <dxfs count="2">
    <dxf>
      <fill>
        <patternFill>
          <bgColor rgb="FFBDD7EE"/>
        </patternFill>
      </fill>
    </dxf>
    <dxf>
      <fill>
        <patternFill>
          <bgColor rgb="FFBDD7E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2CC"/>
      <rgbColor rgb="FFCCFFFF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990720</xdr:colOff>
      <xdr:row>16</xdr:row>
      <xdr:rowOff>496440</xdr:rowOff>
    </xdr:from>
    <xdr:to>
      <xdr:col>5</xdr:col>
      <xdr:colOff>18720</xdr:colOff>
      <xdr:row>21</xdr:row>
      <xdr:rowOff>161280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-887" t="-2201" r="-1012" b="-1386"/>
        <a:stretch/>
      </xdr:blipFill>
      <xdr:spPr>
        <a:xfrm>
          <a:off x="2158200" y="7821000"/>
          <a:ext cx="1752840" cy="1731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114480</xdr:colOff>
      <xdr:row>17</xdr:row>
      <xdr:rowOff>16920</xdr:rowOff>
    </xdr:from>
    <xdr:to>
      <xdr:col>2</xdr:col>
      <xdr:colOff>574560</xdr:colOff>
      <xdr:row>21</xdr:row>
      <xdr:rowOff>37440</xdr:rowOff>
    </xdr:to>
    <xdr:pic>
      <xdr:nvPicPr>
        <xdr:cNvPr id="3" name="Grafik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-13036" t="-1277" r="-11579" b="-2721"/>
        <a:stretch/>
      </xdr:blipFill>
      <xdr:spPr>
        <a:xfrm>
          <a:off x="1281960" y="8170200"/>
          <a:ext cx="460080" cy="1258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122040</xdr:colOff>
      <xdr:row>17</xdr:row>
      <xdr:rowOff>40320</xdr:rowOff>
    </xdr:from>
    <xdr:to>
      <xdr:col>6</xdr:col>
      <xdr:colOff>730440</xdr:colOff>
      <xdr:row>20</xdr:row>
      <xdr:rowOff>190080</xdr:rowOff>
    </xdr:to>
    <xdr:pic>
      <xdr:nvPicPr>
        <xdr:cNvPr id="4" name="Grafik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65400" y="8193600"/>
          <a:ext cx="608400" cy="1197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773906</xdr:colOff>
      <xdr:row>0</xdr:row>
      <xdr:rowOff>178594</xdr:rowOff>
    </xdr:from>
    <xdr:to>
      <xdr:col>8</xdr:col>
      <xdr:colOff>420931</xdr:colOff>
      <xdr:row>4</xdr:row>
      <xdr:rowOff>85867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17DB0B97-97BE-4A93-A62F-29E433E4F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1156" y="178594"/>
          <a:ext cx="623338" cy="764523"/>
        </a:xfrm>
        <a:prstGeom prst="rect">
          <a:avLst/>
        </a:prstGeom>
      </xdr:spPr>
    </xdr:pic>
    <xdr:clientData/>
  </xdr:twoCellAnchor>
  <xdr:twoCellAnchor editAs="oneCell">
    <xdr:from>
      <xdr:col>5</xdr:col>
      <xdr:colOff>641538</xdr:colOff>
      <xdr:row>23</xdr:row>
      <xdr:rowOff>91282</xdr:rowOff>
    </xdr:from>
    <xdr:to>
      <xdr:col>8</xdr:col>
      <xdr:colOff>442832</xdr:colOff>
      <xdr:row>25</xdr:row>
      <xdr:rowOff>186746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57806225-3BE7-4364-A814-0D7F73CF5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9163" y="9965532"/>
          <a:ext cx="1626919" cy="476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AMJ31"/>
  <sheetViews>
    <sheetView showGridLines="0" showRowColHeaders="0" tabSelected="1" zoomScale="110" zoomScaleNormal="110" workbookViewId="0">
      <selection activeCell="C10" sqref="C10:C13"/>
    </sheetView>
  </sheetViews>
  <sheetFormatPr defaultColWidth="10.7109375" defaultRowHeight="16.5"/>
  <cols>
    <col min="1" max="1" width="2.140625" style="1" customWidth="1"/>
    <col min="2" max="3" width="15.140625" style="1" customWidth="1"/>
    <col min="4" max="7" width="12.5703125" style="1" customWidth="1"/>
    <col min="8" max="8" width="2.140625" style="1" customWidth="1"/>
    <col min="9" max="1024" width="10.7109375" style="1"/>
  </cols>
  <sheetData>
    <row r="5" spans="1:16" ht="101.25" customHeight="1">
      <c r="B5" s="94" t="s">
        <v>61</v>
      </c>
      <c r="C5" s="94"/>
      <c r="D5" s="94"/>
      <c r="E5" s="94"/>
      <c r="F5" s="94"/>
      <c r="G5" s="94"/>
      <c r="I5" s="2"/>
      <c r="J5" s="95"/>
      <c r="K5" s="95"/>
      <c r="L5" s="95"/>
      <c r="M5" s="95"/>
      <c r="N5" s="95"/>
      <c r="O5" s="95"/>
      <c r="P5" s="2"/>
    </row>
    <row r="6" spans="1:16" ht="7.5" customHeight="1">
      <c r="A6" s="72"/>
      <c r="B6" s="68"/>
      <c r="C6" s="68"/>
      <c r="D6" s="68"/>
      <c r="E6" s="68"/>
      <c r="F6" s="68"/>
      <c r="G6" s="68"/>
      <c r="H6" s="72"/>
      <c r="I6" s="67"/>
      <c r="J6" s="96" t="s">
        <v>75</v>
      </c>
      <c r="K6" s="96"/>
      <c r="L6" s="96"/>
      <c r="M6" s="96"/>
      <c r="N6" s="96"/>
      <c r="O6" s="96"/>
      <c r="P6" s="2"/>
    </row>
    <row r="7" spans="1:16" ht="23.25" customHeight="1">
      <c r="A7" s="72"/>
      <c r="B7" s="73" t="s">
        <v>62</v>
      </c>
      <c r="C7" s="97"/>
      <c r="D7" s="97"/>
      <c r="E7" s="97"/>
      <c r="F7" s="73" t="s">
        <v>63</v>
      </c>
      <c r="G7" s="74">
        <f ca="1">TODAY()</f>
        <v>44816</v>
      </c>
      <c r="H7" s="72"/>
      <c r="I7" s="67"/>
      <c r="J7" s="96"/>
      <c r="K7" s="96"/>
      <c r="L7" s="96"/>
      <c r="M7" s="96"/>
      <c r="N7" s="96"/>
      <c r="O7" s="96"/>
      <c r="P7" s="2"/>
    </row>
    <row r="8" spans="1:16" ht="11.25" customHeight="1">
      <c r="A8" s="72"/>
      <c r="B8" s="73"/>
      <c r="C8" s="68"/>
      <c r="D8" s="68"/>
      <c r="E8" s="68"/>
      <c r="F8" s="73"/>
      <c r="G8" s="75"/>
      <c r="H8" s="72"/>
      <c r="I8" s="67"/>
      <c r="J8" s="96"/>
      <c r="K8" s="96"/>
      <c r="L8" s="96"/>
      <c r="M8" s="96"/>
      <c r="N8" s="96"/>
      <c r="O8" s="96"/>
      <c r="P8" s="2"/>
    </row>
    <row r="9" spans="1:16" s="3" customFormat="1" ht="94.5" customHeight="1">
      <c r="A9" s="76"/>
      <c r="B9" s="69" t="s">
        <v>67</v>
      </c>
      <c r="C9" s="70" t="s">
        <v>71</v>
      </c>
      <c r="D9" s="70" t="s">
        <v>73</v>
      </c>
      <c r="E9" s="70" t="s">
        <v>68</v>
      </c>
      <c r="F9" s="70" t="s">
        <v>74</v>
      </c>
      <c r="G9" s="71" t="s">
        <v>69</v>
      </c>
      <c r="H9" s="76"/>
      <c r="I9" s="67"/>
      <c r="J9" s="96"/>
      <c r="K9" s="96"/>
      <c r="L9" s="96"/>
      <c r="M9" s="96"/>
      <c r="N9" s="96"/>
      <c r="O9" s="96"/>
      <c r="P9" s="2"/>
    </row>
    <row r="10" spans="1:16" ht="43.5" customHeight="1">
      <c r="A10" s="72"/>
      <c r="B10" s="77">
        <v>45</v>
      </c>
      <c r="C10" s="78"/>
      <c r="D10" s="79">
        <v>20.62</v>
      </c>
      <c r="E10" s="80">
        <v>15.71</v>
      </c>
      <c r="F10" s="79">
        <f>C10*Quelle!W3/1000</f>
        <v>0</v>
      </c>
      <c r="G10" s="81">
        <f>E10/D10-1</f>
        <v>-0.23811833171677987</v>
      </c>
      <c r="H10" s="72"/>
      <c r="I10" s="67"/>
      <c r="J10" s="96"/>
      <c r="K10" s="96"/>
      <c r="L10" s="96"/>
      <c r="M10" s="96"/>
      <c r="N10" s="96"/>
      <c r="O10" s="96"/>
      <c r="P10" s="2"/>
    </row>
    <row r="11" spans="1:16" ht="43.5" customHeight="1">
      <c r="A11" s="72"/>
      <c r="B11" s="77">
        <v>52</v>
      </c>
      <c r="C11" s="78"/>
      <c r="D11" s="79">
        <v>22.24</v>
      </c>
      <c r="E11" s="80">
        <v>16.84</v>
      </c>
      <c r="F11" s="79">
        <f>C11*Quelle!W4/1000</f>
        <v>0</v>
      </c>
      <c r="G11" s="81">
        <f>E11/D11-1</f>
        <v>-0.24280575539568339</v>
      </c>
      <c r="H11" s="72"/>
      <c r="I11" s="67"/>
      <c r="J11" s="96"/>
      <c r="K11" s="96"/>
      <c r="L11" s="96"/>
      <c r="M11" s="96"/>
      <c r="N11" s="96"/>
      <c r="O11" s="96"/>
      <c r="P11" s="2"/>
    </row>
    <row r="12" spans="1:16" ht="43.5" customHeight="1">
      <c r="A12" s="72"/>
      <c r="B12" s="77">
        <v>57</v>
      </c>
      <c r="C12" s="78"/>
      <c r="D12" s="79">
        <v>26.7</v>
      </c>
      <c r="E12" s="80">
        <v>20.07</v>
      </c>
      <c r="F12" s="79">
        <f>C12*Quelle!W5/1000</f>
        <v>0</v>
      </c>
      <c r="G12" s="81">
        <f>E12/D12-1</f>
        <v>-0.24831460674157302</v>
      </c>
      <c r="H12" s="72"/>
      <c r="I12" s="67"/>
      <c r="J12" s="96"/>
      <c r="K12" s="96"/>
      <c r="L12" s="96"/>
      <c r="M12" s="96"/>
      <c r="N12" s="96"/>
      <c r="O12" s="96"/>
      <c r="P12" s="2"/>
    </row>
    <row r="13" spans="1:16" ht="43.5" customHeight="1">
      <c r="A13" s="72"/>
      <c r="B13" s="82">
        <v>65</v>
      </c>
      <c r="C13" s="83"/>
      <c r="D13" s="84">
        <v>31.96</v>
      </c>
      <c r="E13" s="85">
        <v>23.86</v>
      </c>
      <c r="F13" s="84">
        <f>C13*Quelle!W6/1000</f>
        <v>0</v>
      </c>
      <c r="G13" s="86">
        <f>E13/D13-1</f>
        <v>-0.2534418022528161</v>
      </c>
      <c r="H13" s="72"/>
      <c r="I13" s="67"/>
      <c r="J13" s="96"/>
      <c r="K13" s="96"/>
      <c r="L13" s="96"/>
      <c r="M13" s="96"/>
      <c r="N13" s="96"/>
      <c r="O13" s="96"/>
      <c r="P13" s="2"/>
    </row>
    <row r="14" spans="1:16" ht="15" customHeight="1">
      <c r="A14" s="72"/>
      <c r="B14" s="72"/>
      <c r="C14" s="72"/>
      <c r="D14" s="72"/>
      <c r="E14" s="72"/>
      <c r="F14" s="72"/>
      <c r="G14" s="72"/>
      <c r="H14" s="72"/>
      <c r="I14" s="67"/>
      <c r="J14" s="96"/>
      <c r="K14" s="96"/>
      <c r="L14" s="96"/>
      <c r="M14" s="96"/>
      <c r="N14" s="96"/>
      <c r="O14" s="96"/>
      <c r="P14" s="2"/>
    </row>
    <row r="15" spans="1:16" ht="75" customHeight="1">
      <c r="A15" s="72"/>
      <c r="B15" s="98" t="s">
        <v>70</v>
      </c>
      <c r="C15" s="98"/>
      <c r="D15" s="98"/>
      <c r="E15" s="98"/>
      <c r="F15" s="98"/>
      <c r="G15" s="98"/>
      <c r="H15" s="72"/>
      <c r="I15" s="67"/>
      <c r="J15" s="96"/>
      <c r="K15" s="96"/>
      <c r="L15" s="96"/>
      <c r="M15" s="96"/>
      <c r="N15" s="96"/>
      <c r="O15" s="96"/>
      <c r="P15" s="2"/>
    </row>
    <row r="16" spans="1:16" ht="15" customHeight="1">
      <c r="A16" s="72"/>
      <c r="B16" s="72"/>
      <c r="C16" s="72"/>
      <c r="D16" s="72"/>
      <c r="E16" s="72"/>
      <c r="F16" s="72"/>
      <c r="G16" s="72"/>
      <c r="H16" s="72"/>
      <c r="I16" s="67"/>
      <c r="J16" s="96"/>
      <c r="K16" s="96"/>
      <c r="L16" s="96"/>
      <c r="M16" s="96"/>
      <c r="N16" s="96"/>
      <c r="O16" s="96"/>
      <c r="P16" s="2"/>
    </row>
    <row r="17" spans="1:16" ht="65.25" customHeight="1">
      <c r="A17" s="72"/>
      <c r="B17" s="96" t="s">
        <v>66</v>
      </c>
      <c r="C17" s="96"/>
      <c r="D17" s="96" t="s">
        <v>64</v>
      </c>
      <c r="E17" s="96"/>
      <c r="F17" s="99" t="s">
        <v>65</v>
      </c>
      <c r="G17" s="99"/>
      <c r="H17" s="72"/>
      <c r="I17" s="67"/>
      <c r="J17" s="96"/>
      <c r="K17" s="96"/>
      <c r="L17" s="96"/>
      <c r="M17" s="96"/>
      <c r="N17" s="96"/>
      <c r="O17" s="96"/>
      <c r="P17" s="2"/>
    </row>
    <row r="18" spans="1:16" ht="33" customHeight="1">
      <c r="A18" s="72"/>
      <c r="B18" s="87">
        <f>ROUND(SUM(F10:F13),0)</f>
        <v>0</v>
      </c>
      <c r="C18" s="87"/>
      <c r="D18" s="100">
        <f>ROUND(SUM(Quelle!V3:V6),0)</f>
        <v>0</v>
      </c>
      <c r="E18" s="100"/>
      <c r="F18" s="88">
        <f>IF(Quelle!Q7=0,0,Quelle!R7/Quelle!Q7-1)</f>
        <v>0</v>
      </c>
      <c r="G18" s="89"/>
      <c r="H18" s="72"/>
      <c r="I18" s="67"/>
      <c r="J18" s="96"/>
      <c r="K18" s="96"/>
      <c r="L18" s="96"/>
      <c r="M18" s="96"/>
      <c r="N18" s="96"/>
      <c r="O18" s="96"/>
      <c r="P18" s="2"/>
    </row>
    <row r="19" spans="1:16" ht="34.5" customHeight="1">
      <c r="A19" s="72"/>
      <c r="B19" s="90" t="s">
        <v>0</v>
      </c>
      <c r="C19" s="90"/>
      <c r="D19" s="101" t="s">
        <v>0</v>
      </c>
      <c r="E19" s="101"/>
      <c r="F19" s="91"/>
      <c r="G19" s="91"/>
      <c r="H19" s="72"/>
      <c r="I19" s="67"/>
      <c r="J19" s="96"/>
      <c r="K19" s="96"/>
      <c r="L19" s="96"/>
      <c r="M19" s="96"/>
      <c r="N19" s="96"/>
      <c r="O19" s="96"/>
      <c r="P19" s="2"/>
    </row>
    <row r="20" spans="1:16" ht="15" customHeight="1">
      <c r="A20" s="72"/>
      <c r="B20" s="92"/>
      <c r="C20" s="72"/>
      <c r="D20" s="72"/>
      <c r="E20" s="72"/>
      <c r="F20" s="72"/>
      <c r="G20" s="72"/>
      <c r="H20" s="72"/>
      <c r="I20" s="67"/>
      <c r="J20" s="96"/>
      <c r="K20" s="96"/>
      <c r="L20" s="96"/>
      <c r="M20" s="96"/>
      <c r="N20" s="96"/>
      <c r="O20" s="96"/>
      <c r="P20" s="2"/>
    </row>
    <row r="21" spans="1:16" ht="15" customHeight="1">
      <c r="A21" s="72"/>
      <c r="B21" s="72"/>
      <c r="C21" s="72"/>
      <c r="D21" s="72"/>
      <c r="E21" s="72"/>
      <c r="F21" s="72"/>
      <c r="G21" s="72"/>
      <c r="H21" s="72"/>
      <c r="I21" s="67"/>
      <c r="J21" s="96"/>
      <c r="K21" s="96"/>
      <c r="L21" s="96"/>
      <c r="M21" s="96"/>
      <c r="N21" s="96"/>
      <c r="O21" s="96"/>
      <c r="P21" s="2"/>
    </row>
    <row r="22" spans="1:16" ht="15" customHeight="1">
      <c r="A22" s="72"/>
      <c r="B22" s="72"/>
      <c r="C22" s="72"/>
      <c r="D22" s="72"/>
      <c r="E22" s="72"/>
      <c r="F22" s="72"/>
      <c r="G22" s="72"/>
      <c r="H22" s="72"/>
      <c r="I22" s="67"/>
      <c r="J22" s="96"/>
      <c r="K22" s="96"/>
      <c r="L22" s="96"/>
      <c r="M22" s="96"/>
      <c r="N22" s="96"/>
      <c r="O22" s="96"/>
      <c r="P22" s="2"/>
    </row>
    <row r="23" spans="1:16">
      <c r="A23" s="72"/>
      <c r="B23" s="72"/>
      <c r="C23" s="72"/>
      <c r="D23" s="72"/>
      <c r="E23" s="72"/>
      <c r="F23" s="72"/>
      <c r="G23" s="72"/>
      <c r="H23" s="72"/>
      <c r="I23" s="67"/>
      <c r="J23" s="96"/>
      <c r="K23" s="96"/>
      <c r="L23" s="96"/>
      <c r="M23" s="96"/>
      <c r="N23" s="96"/>
      <c r="O23" s="96"/>
      <c r="P23" s="2"/>
    </row>
    <row r="24" spans="1:16" ht="15" customHeight="1">
      <c r="A24" s="93" t="s">
        <v>72</v>
      </c>
      <c r="B24" s="93"/>
      <c r="C24" s="93"/>
      <c r="D24" s="93"/>
      <c r="E24" s="93"/>
      <c r="F24" s="93"/>
      <c r="G24" s="93"/>
      <c r="I24" s="2"/>
      <c r="J24" s="2"/>
      <c r="K24" s="2"/>
      <c r="L24" s="2"/>
      <c r="M24" s="2"/>
      <c r="N24" s="2"/>
      <c r="O24" s="2"/>
      <c r="P24" s="2"/>
    </row>
    <row r="25" spans="1:16" ht="15" customHeight="1">
      <c r="A25" s="93"/>
      <c r="B25" s="93"/>
      <c r="C25" s="93"/>
      <c r="D25" s="93"/>
      <c r="E25" s="93"/>
      <c r="F25" s="93"/>
      <c r="G25" s="93"/>
      <c r="I25" s="2"/>
      <c r="J25" s="2"/>
      <c r="K25" s="2"/>
      <c r="L25" s="2"/>
      <c r="M25" s="2"/>
      <c r="N25" s="2"/>
      <c r="O25" s="2"/>
      <c r="P25" s="2"/>
    </row>
    <row r="26" spans="1:16" ht="15" customHeight="1">
      <c r="I26" s="2"/>
      <c r="J26" s="2"/>
      <c r="K26" s="2"/>
      <c r="L26" s="2"/>
      <c r="M26" s="2"/>
      <c r="N26" s="2"/>
      <c r="O26" s="2"/>
      <c r="P26" s="2"/>
    </row>
    <row r="27" spans="1:16" ht="15" customHeight="1">
      <c r="I27" s="2"/>
      <c r="J27" s="2"/>
      <c r="K27" s="2"/>
      <c r="L27" s="2"/>
      <c r="M27" s="2"/>
      <c r="N27" s="2"/>
      <c r="O27" s="2"/>
      <c r="P27" s="2"/>
    </row>
    <row r="28" spans="1:16" ht="15" customHeight="1">
      <c r="I28" s="2"/>
      <c r="J28" s="2"/>
      <c r="K28" s="2"/>
      <c r="L28" s="2"/>
      <c r="M28" s="2"/>
      <c r="N28" s="2"/>
      <c r="O28" s="2"/>
      <c r="P28" s="2"/>
    </row>
    <row r="29" spans="1:16" ht="15" customHeight="1">
      <c r="I29" s="2"/>
      <c r="J29" s="2"/>
      <c r="K29" s="2"/>
      <c r="L29" s="2"/>
      <c r="M29" s="2"/>
      <c r="N29" s="2"/>
      <c r="O29" s="2"/>
      <c r="P29" s="2"/>
    </row>
    <row r="30" spans="1:16" ht="15" customHeight="1">
      <c r="I30" s="2"/>
      <c r="J30" s="2"/>
      <c r="K30" s="2"/>
      <c r="L30" s="2"/>
      <c r="M30" s="2"/>
      <c r="N30" s="2"/>
      <c r="O30" s="2"/>
      <c r="P30" s="2"/>
    </row>
    <row r="31" spans="1:16" ht="15" customHeight="1">
      <c r="I31" s="2"/>
      <c r="J31" s="2"/>
      <c r="K31" s="2"/>
      <c r="L31" s="2"/>
      <c r="M31" s="2"/>
      <c r="N31" s="2"/>
      <c r="O31" s="2"/>
      <c r="P31" s="2"/>
    </row>
  </sheetData>
  <sheetProtection sheet="1" selectLockedCells="1"/>
  <protectedRanges>
    <protectedRange sqref="C10:C13" name="Jahresmenge"/>
  </protectedRanges>
  <mergeCells count="11">
    <mergeCell ref="A24:G25"/>
    <mergeCell ref="B5:G5"/>
    <mergeCell ref="J5:O5"/>
    <mergeCell ref="J6:O23"/>
    <mergeCell ref="C7:E7"/>
    <mergeCell ref="B15:G15"/>
    <mergeCell ref="B17:C17"/>
    <mergeCell ref="D17:E17"/>
    <mergeCell ref="F17:G17"/>
    <mergeCell ref="D18:E18"/>
    <mergeCell ref="D19:E19"/>
  </mergeCells>
  <conditionalFormatting sqref="C10:C13">
    <cfRule type="expression" dxfId="1" priority="2">
      <formula>LEN(TRIM(C10))=0</formula>
    </cfRule>
  </conditionalFormatting>
  <printOptions horizontalCentered="1"/>
  <pageMargins left="0.70833333333333304" right="0.70833333333333304" top="0.59583333333333299" bottom="0.59583333333333299" header="0.31527777777777799" footer="0.31527777777777799"/>
  <pageSetup paperSize="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2"/>
  <sheetViews>
    <sheetView showRowColHeaders="0" topLeftCell="B1" zoomScaleNormal="100" workbookViewId="0">
      <selection activeCell="B1" sqref="B1"/>
    </sheetView>
  </sheetViews>
  <sheetFormatPr defaultColWidth="10.140625" defaultRowHeight="16.5"/>
  <cols>
    <col min="1" max="1" width="24.7109375" customWidth="1"/>
    <col min="2" max="2" width="7.5703125" customWidth="1"/>
    <col min="3" max="3" width="8" customWidth="1"/>
    <col min="4" max="4" width="15.140625" customWidth="1"/>
    <col min="5" max="5" width="15.7109375" customWidth="1"/>
    <col min="6" max="6" width="16" customWidth="1"/>
    <col min="7" max="7" width="4.140625" customWidth="1"/>
    <col min="9" max="9" width="4.140625" customWidth="1"/>
    <col min="11" max="11" width="7.42578125" customWidth="1"/>
    <col min="13" max="13" width="4.140625" customWidth="1"/>
    <col min="16" max="16" width="11.140625" customWidth="1"/>
  </cols>
  <sheetData>
    <row r="1" spans="1:24" ht="16.5" customHeight="1">
      <c r="A1" s="4"/>
      <c r="B1" s="4"/>
      <c r="C1" s="4"/>
      <c r="D1" s="4"/>
      <c r="E1" s="5"/>
      <c r="F1" s="102" t="s">
        <v>1</v>
      </c>
      <c r="G1" s="7"/>
      <c r="H1" s="8" t="s">
        <v>2</v>
      </c>
      <c r="I1" s="9"/>
      <c r="J1" s="103" t="s">
        <v>3</v>
      </c>
      <c r="K1" s="103"/>
      <c r="L1" s="10"/>
    </row>
    <row r="2" spans="1:24" ht="94.5">
      <c r="A2" s="11" t="s">
        <v>4</v>
      </c>
      <c r="B2" s="11" t="s">
        <v>5</v>
      </c>
      <c r="C2" s="11" t="s">
        <v>6</v>
      </c>
      <c r="D2" s="11" t="s">
        <v>7</v>
      </c>
      <c r="E2" s="11" t="s">
        <v>8</v>
      </c>
      <c r="F2" s="102"/>
      <c r="G2" s="6" t="s">
        <v>9</v>
      </c>
      <c r="H2" s="6" t="s">
        <v>10</v>
      </c>
      <c r="I2" s="9"/>
      <c r="J2" s="103"/>
      <c r="K2" s="103"/>
      <c r="L2" s="10" t="s">
        <v>9</v>
      </c>
      <c r="O2" s="12" t="s">
        <v>11</v>
      </c>
      <c r="P2" s="13" t="s">
        <v>12</v>
      </c>
      <c r="Q2" s="13" t="s">
        <v>13</v>
      </c>
      <c r="R2" s="13" t="s">
        <v>14</v>
      </c>
      <c r="S2" s="13" t="s">
        <v>15</v>
      </c>
      <c r="T2" s="14" t="s">
        <v>16</v>
      </c>
      <c r="U2" s="15" t="s">
        <v>17</v>
      </c>
      <c r="V2" s="15" t="s">
        <v>18</v>
      </c>
      <c r="W2" s="15" t="s">
        <v>19</v>
      </c>
      <c r="X2" s="15" t="s">
        <v>20</v>
      </c>
    </row>
    <row r="3" spans="1:24">
      <c r="A3" s="16" t="s">
        <v>21</v>
      </c>
      <c r="B3" s="16" t="s">
        <v>22</v>
      </c>
      <c r="C3" s="17">
        <v>1000</v>
      </c>
      <c r="D3" s="16">
        <v>4.4999999999999997E-3</v>
      </c>
      <c r="E3" s="16">
        <v>4.5</v>
      </c>
      <c r="F3" s="18">
        <v>534</v>
      </c>
      <c r="G3" s="18" t="s">
        <v>23</v>
      </c>
      <c r="H3" s="18">
        <v>198000</v>
      </c>
      <c r="I3" s="19"/>
      <c r="J3" s="19"/>
      <c r="K3" s="19"/>
      <c r="L3" s="19"/>
      <c r="O3" s="20">
        <v>45</v>
      </c>
      <c r="P3" s="21">
        <f>'Calcolatore impatto tappi PCR'!C10</f>
        <v>0</v>
      </c>
      <c r="Q3" s="22">
        <v>20.62</v>
      </c>
      <c r="R3" s="23">
        <v>15.71</v>
      </c>
      <c r="S3" s="22">
        <f>P3*W3/1000</f>
        <v>0</v>
      </c>
      <c r="T3" s="24">
        <f>R3/Q3-1</f>
        <v>-0.23811833171677987</v>
      </c>
      <c r="U3" s="25">
        <f>IF(P3=0,0,P3/SUM(P$3:P$6))</f>
        <v>0</v>
      </c>
      <c r="V3" s="26">
        <f>(P3/1000*Q3)-(P3/1000*R3)</f>
        <v>0</v>
      </c>
      <c r="W3" s="27">
        <v>4.5</v>
      </c>
      <c r="X3" s="27">
        <v>4.95</v>
      </c>
    </row>
    <row r="4" spans="1:24">
      <c r="A4" s="28" t="s">
        <v>24</v>
      </c>
      <c r="B4" s="16" t="s">
        <v>22</v>
      </c>
      <c r="C4" s="29">
        <v>1000</v>
      </c>
      <c r="D4" s="28">
        <v>4.9500000000000004E-3</v>
      </c>
      <c r="E4" s="28">
        <v>4.95</v>
      </c>
      <c r="F4" s="18">
        <v>534</v>
      </c>
      <c r="G4" s="18" t="s">
        <v>23</v>
      </c>
      <c r="H4" s="18">
        <v>198000</v>
      </c>
      <c r="I4" s="28"/>
      <c r="J4" s="16" t="s">
        <v>25</v>
      </c>
      <c r="K4" s="30">
        <v>0.90600000000000003</v>
      </c>
      <c r="L4" s="16" t="s">
        <v>23</v>
      </c>
      <c r="O4" s="20">
        <v>52</v>
      </c>
      <c r="P4" s="21">
        <f>'Calcolatore impatto tappi PCR'!C11</f>
        <v>0</v>
      </c>
      <c r="Q4" s="22">
        <v>22.24</v>
      </c>
      <c r="R4" s="23">
        <v>16.84</v>
      </c>
      <c r="S4" s="22">
        <f>P4*W4/1000</f>
        <v>0</v>
      </c>
      <c r="T4" s="24">
        <f>R4/Q4-1</f>
        <v>-0.24280575539568339</v>
      </c>
      <c r="U4" s="25">
        <f>IF(P4=0,0,P4/SUM(P$3:P$6))</f>
        <v>0</v>
      </c>
      <c r="V4" s="26">
        <f>(P4/1000*Q4)-(P4/1000*R4)</f>
        <v>0</v>
      </c>
      <c r="W4" s="27">
        <v>4.9000000000000004</v>
      </c>
      <c r="X4" s="27">
        <v>5.39</v>
      </c>
    </row>
    <row r="5" spans="1:24">
      <c r="A5" s="31"/>
      <c r="B5" s="31"/>
      <c r="C5" s="29"/>
      <c r="D5" s="28"/>
      <c r="E5" s="28"/>
      <c r="F5" s="32"/>
      <c r="G5" s="32"/>
      <c r="H5" s="32"/>
      <c r="I5" s="32"/>
      <c r="J5" s="33" t="s">
        <v>26</v>
      </c>
      <c r="K5" s="34">
        <v>0.30299999999999999</v>
      </c>
      <c r="L5" s="35" t="s">
        <v>23</v>
      </c>
      <c r="O5" s="20">
        <v>57</v>
      </c>
      <c r="P5" s="21">
        <f>'Calcolatore impatto tappi PCR'!C12</f>
        <v>0</v>
      </c>
      <c r="Q5" s="22">
        <v>26.7</v>
      </c>
      <c r="R5" s="23">
        <v>20.07</v>
      </c>
      <c r="S5" s="22">
        <f>P5*W5/1000</f>
        <v>0</v>
      </c>
      <c r="T5" s="24">
        <f>R5/Q5-1</f>
        <v>-0.24831460674157302</v>
      </c>
      <c r="U5" s="25">
        <f>IF(P5=0,0,P5/SUM(P$3:P$6))</f>
        <v>0</v>
      </c>
      <c r="V5" s="26">
        <f>(P5/1000*Q5)-(P5/1000*R5)</f>
        <v>0</v>
      </c>
      <c r="W5" s="27">
        <v>6</v>
      </c>
      <c r="X5" s="27">
        <v>6.6</v>
      </c>
    </row>
    <row r="6" spans="1:24">
      <c r="A6" s="28"/>
      <c r="B6" s="28"/>
      <c r="C6" s="29"/>
      <c r="D6" s="28"/>
      <c r="E6" s="28"/>
      <c r="F6" s="28"/>
      <c r="G6" s="28"/>
      <c r="H6" s="28"/>
      <c r="I6" s="28"/>
      <c r="J6" s="16" t="s">
        <v>27</v>
      </c>
      <c r="K6" s="30">
        <v>4.7E-2</v>
      </c>
      <c r="L6" s="16" t="s">
        <v>28</v>
      </c>
      <c r="O6" s="36">
        <v>65</v>
      </c>
      <c r="P6" s="21">
        <f>'Calcolatore impatto tappi PCR'!C13</f>
        <v>0</v>
      </c>
      <c r="Q6" s="37">
        <v>31.96</v>
      </c>
      <c r="R6" s="38">
        <v>23.86</v>
      </c>
      <c r="S6" s="37">
        <f>P6*W6/1000</f>
        <v>0</v>
      </c>
      <c r="T6" s="39">
        <f>R6/Q6-1</f>
        <v>-0.2534418022528161</v>
      </c>
      <c r="U6" s="25">
        <f>IF(P6=0,0,P6/SUM(P$3:P$6))</f>
        <v>0</v>
      </c>
      <c r="V6" s="26">
        <f>(P6/1000*Q6)-(P6/1000*R6)</f>
        <v>0</v>
      </c>
      <c r="W6" s="27">
        <v>7.3</v>
      </c>
      <c r="X6" s="27">
        <v>8.0299999999999994</v>
      </c>
    </row>
    <row r="7" spans="1:24">
      <c r="A7" s="16" t="s">
        <v>29</v>
      </c>
      <c r="B7" s="16" t="s">
        <v>30</v>
      </c>
      <c r="C7" s="17">
        <v>1000</v>
      </c>
      <c r="D7" s="16">
        <v>4.8999999999999998E-3</v>
      </c>
      <c r="E7" s="16">
        <v>4.9000000000000004</v>
      </c>
      <c r="F7" s="18">
        <v>534</v>
      </c>
      <c r="G7" s="18" t="s">
        <v>23</v>
      </c>
      <c r="H7" s="18">
        <v>198000</v>
      </c>
      <c r="I7" s="19"/>
      <c r="J7" s="16" t="s">
        <v>31</v>
      </c>
      <c r="K7" s="30">
        <v>4.5999999999999999E-2</v>
      </c>
      <c r="L7" s="16" t="s">
        <v>28</v>
      </c>
      <c r="O7" s="40" t="s">
        <v>32</v>
      </c>
      <c r="P7" s="41">
        <f>SUM(P3:P6)</f>
        <v>0</v>
      </c>
      <c r="Q7" s="42">
        <f>SUM(Q3*U3,Q4*U4,Q5*U5,Q6*U6)</f>
        <v>0</v>
      </c>
      <c r="R7" s="42">
        <f>SUM(R3*U3,R4*U4,R5*U5,R6*U6)</f>
        <v>0</v>
      </c>
      <c r="S7" s="43">
        <f>ROUND(SUM(S3:S6),0)</f>
        <v>0</v>
      </c>
      <c r="T7" s="44">
        <f>IF(Q7=0,0,R7/Q7-1)</f>
        <v>0</v>
      </c>
      <c r="U7" s="45"/>
      <c r="V7" s="46">
        <f>ROUND(SUM(V3:V6),0)</f>
        <v>0</v>
      </c>
      <c r="W7" s="47"/>
      <c r="X7" s="48"/>
    </row>
    <row r="8" spans="1:24">
      <c r="A8" s="28" t="s">
        <v>33</v>
      </c>
      <c r="B8" s="28" t="s">
        <v>30</v>
      </c>
      <c r="C8" s="29">
        <v>1000</v>
      </c>
      <c r="D8" s="28">
        <v>5.3899999999999998E-3</v>
      </c>
      <c r="E8" s="28">
        <v>5.39</v>
      </c>
      <c r="F8" s="18">
        <v>534</v>
      </c>
      <c r="G8" s="18" t="s">
        <v>23</v>
      </c>
      <c r="H8" s="18">
        <v>198000</v>
      </c>
      <c r="I8" s="28"/>
      <c r="J8" s="28"/>
      <c r="K8" s="28"/>
      <c r="L8" s="28"/>
    </row>
    <row r="9" spans="1:24">
      <c r="A9" s="31"/>
      <c r="B9" s="31"/>
      <c r="C9" s="29"/>
      <c r="D9" s="28"/>
      <c r="E9" s="28"/>
      <c r="F9" s="32"/>
      <c r="G9" s="32"/>
      <c r="H9" s="32"/>
      <c r="I9" s="32"/>
      <c r="J9" s="32"/>
      <c r="K9" s="32"/>
      <c r="L9" s="32"/>
    </row>
    <row r="10" spans="1:24">
      <c r="A10" s="28"/>
      <c r="B10" s="28"/>
      <c r="C10" s="29"/>
      <c r="D10" s="28"/>
      <c r="E10" s="28"/>
      <c r="F10" s="28"/>
      <c r="G10" s="28"/>
      <c r="H10" s="28"/>
      <c r="I10" s="28"/>
      <c r="J10" s="28"/>
      <c r="K10" s="28"/>
      <c r="L10" s="28"/>
    </row>
    <row r="11" spans="1:24">
      <c r="A11" s="16" t="s">
        <v>34</v>
      </c>
      <c r="B11" s="16" t="s">
        <v>35</v>
      </c>
      <c r="C11" s="17">
        <v>1000</v>
      </c>
      <c r="D11" s="16">
        <v>6.0000000000000001E-3</v>
      </c>
      <c r="E11" s="16">
        <v>6</v>
      </c>
      <c r="F11" s="18">
        <v>534</v>
      </c>
      <c r="G11" s="18" t="s">
        <v>23</v>
      </c>
      <c r="H11" s="18">
        <v>198000</v>
      </c>
      <c r="I11" s="19"/>
      <c r="J11" s="19"/>
      <c r="K11" s="19"/>
      <c r="L11" s="19"/>
    </row>
    <row r="12" spans="1:24">
      <c r="A12" s="28" t="s">
        <v>36</v>
      </c>
      <c r="B12" s="28" t="s">
        <v>35</v>
      </c>
      <c r="C12" s="29">
        <v>1000</v>
      </c>
      <c r="D12" s="28">
        <v>6.6E-3</v>
      </c>
      <c r="E12" s="28">
        <v>6.6</v>
      </c>
      <c r="F12" s="18">
        <v>534</v>
      </c>
      <c r="G12" s="18" t="s">
        <v>23</v>
      </c>
      <c r="H12" s="18">
        <v>198000</v>
      </c>
      <c r="I12" s="28"/>
      <c r="J12" s="28"/>
      <c r="K12" s="28"/>
      <c r="L12" s="28"/>
    </row>
    <row r="13" spans="1:24">
      <c r="A13" s="31"/>
      <c r="B13" s="31"/>
      <c r="C13" s="29"/>
      <c r="D13" s="28"/>
      <c r="E13" s="28"/>
      <c r="F13" s="32"/>
      <c r="G13" s="32"/>
      <c r="H13" s="32"/>
      <c r="I13" s="32"/>
      <c r="J13" s="32"/>
      <c r="K13" s="32"/>
      <c r="L13" s="32"/>
    </row>
    <row r="14" spans="1:24">
      <c r="A14" s="28"/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</row>
    <row r="15" spans="1:24">
      <c r="A15" s="16" t="s">
        <v>37</v>
      </c>
      <c r="B15" s="16" t="s">
        <v>38</v>
      </c>
      <c r="C15" s="17">
        <v>1000</v>
      </c>
      <c r="D15" s="16">
        <v>7.3000000000000001E-3</v>
      </c>
      <c r="E15" s="16">
        <v>7.3</v>
      </c>
      <c r="F15" s="18">
        <v>534</v>
      </c>
      <c r="G15" s="18" t="s">
        <v>23</v>
      </c>
      <c r="H15" s="18">
        <v>198000</v>
      </c>
      <c r="I15" s="19"/>
      <c r="J15" s="49">
        <f>D15*5000</f>
        <v>36.5</v>
      </c>
      <c r="K15" s="19"/>
      <c r="L15" s="19"/>
    </row>
    <row r="16" spans="1:24">
      <c r="A16" s="28" t="s">
        <v>39</v>
      </c>
      <c r="B16" s="28" t="s">
        <v>38</v>
      </c>
      <c r="C16" s="29">
        <v>1000</v>
      </c>
      <c r="D16" s="28">
        <v>8.0300000000000007E-3</v>
      </c>
      <c r="E16" s="28">
        <v>8.0299999999999994</v>
      </c>
      <c r="F16" s="18">
        <v>534</v>
      </c>
      <c r="G16" s="18" t="s">
        <v>23</v>
      </c>
      <c r="H16" s="18">
        <v>198000</v>
      </c>
      <c r="I16" s="28"/>
      <c r="J16" s="49">
        <f>D16*5000</f>
        <v>40.150000000000006</v>
      </c>
      <c r="K16" s="28"/>
      <c r="L16" s="28"/>
    </row>
    <row r="18" spans="1:19">
      <c r="A18" t="s">
        <v>40</v>
      </c>
    </row>
    <row r="19" spans="1:19" ht="34.5" customHeight="1">
      <c r="D19" s="50" t="s">
        <v>41</v>
      </c>
      <c r="E19" s="50"/>
      <c r="F19" s="50" t="s">
        <v>42</v>
      </c>
      <c r="G19" s="50"/>
      <c r="H19" s="50" t="s">
        <v>43</v>
      </c>
      <c r="I19" s="50"/>
      <c r="J19" s="50" t="s">
        <v>44</v>
      </c>
      <c r="K19" s="50"/>
      <c r="L19" s="50" t="s">
        <v>45</v>
      </c>
      <c r="M19" s="50"/>
      <c r="N19" s="50" t="s">
        <v>46</v>
      </c>
      <c r="O19" s="50"/>
      <c r="P19" s="50"/>
      <c r="Q19" s="50"/>
      <c r="R19" s="50"/>
      <c r="S19" s="50"/>
    </row>
    <row r="20" spans="1:19">
      <c r="D20" s="51" t="s">
        <v>47</v>
      </c>
      <c r="E20" s="51" t="s">
        <v>48</v>
      </c>
      <c r="F20" s="51" t="s">
        <v>47</v>
      </c>
      <c r="G20" s="51" t="s">
        <v>48</v>
      </c>
      <c r="H20" s="51" t="s">
        <v>47</v>
      </c>
      <c r="I20" s="51" t="s">
        <v>48</v>
      </c>
      <c r="J20" s="51" t="s">
        <v>47</v>
      </c>
      <c r="K20" s="51" t="s">
        <v>48</v>
      </c>
      <c r="L20" s="51" t="s">
        <v>47</v>
      </c>
      <c r="M20" s="51" t="s">
        <v>48</v>
      </c>
      <c r="N20" s="51" t="s">
        <v>47</v>
      </c>
      <c r="O20" s="51" t="s">
        <v>48</v>
      </c>
      <c r="P20" s="51" t="s">
        <v>47</v>
      </c>
      <c r="Q20" s="51" t="s">
        <v>48</v>
      </c>
      <c r="R20" s="51" t="s">
        <v>47</v>
      </c>
      <c r="S20" s="51" t="s">
        <v>48</v>
      </c>
    </row>
    <row r="21" spans="1:19" ht="16.5" customHeight="1">
      <c r="A21" s="52" t="s">
        <v>49</v>
      </c>
      <c r="D21" s="52">
        <v>14.24</v>
      </c>
      <c r="E21" s="53">
        <f t="shared" ref="E21:E31" si="0">D21/$D$32*100</f>
        <v>44.555694618272838</v>
      </c>
      <c r="F21" s="52">
        <v>4.63</v>
      </c>
      <c r="G21" s="54">
        <f t="shared" ref="G21:G31" si="1">F21/$F$32*100</f>
        <v>19.404861693210393</v>
      </c>
      <c r="H21" s="52">
        <v>11.71</v>
      </c>
      <c r="I21" s="54">
        <f t="shared" ref="I21:I31" si="2">H21/$H$32*100</f>
        <v>43.857677902621731</v>
      </c>
      <c r="J21" s="52">
        <v>3.82</v>
      </c>
      <c r="K21" s="54">
        <f t="shared" ref="K21:K31" si="3">J21/$J$32*100</f>
        <v>19.042871385842471</v>
      </c>
      <c r="L21" s="52">
        <v>9.56</v>
      </c>
      <c r="M21" s="54">
        <f t="shared" ref="M21:M31" si="4">L21/$L$32*100</f>
        <v>42.985611510791372</v>
      </c>
      <c r="N21" s="52">
        <v>3.12</v>
      </c>
      <c r="O21" s="54">
        <f t="shared" ref="O21:O31" si="5">N21/$N$32*100</f>
        <v>18.538324420677359</v>
      </c>
      <c r="P21" s="52"/>
      <c r="Q21" s="52">
        <f t="shared" ref="Q21:Q31" si="6">P21/$D$32*100</f>
        <v>0</v>
      </c>
      <c r="R21" s="52"/>
      <c r="S21" s="52">
        <f t="shared" ref="S21:S31" si="7">R21/$D$32*100</f>
        <v>0</v>
      </c>
    </row>
    <row r="22" spans="1:19">
      <c r="A22" t="s">
        <v>50</v>
      </c>
      <c r="D22">
        <v>13.89</v>
      </c>
      <c r="E22" s="55">
        <f t="shared" si="0"/>
        <v>43.460575719649562</v>
      </c>
      <c r="F22">
        <v>4.24</v>
      </c>
      <c r="G22" s="55">
        <f t="shared" si="1"/>
        <v>17.770326906957251</v>
      </c>
      <c r="H22">
        <v>11.42</v>
      </c>
      <c r="I22" s="56">
        <f t="shared" si="2"/>
        <v>42.771535580524343</v>
      </c>
      <c r="J22" s="57">
        <v>3.5</v>
      </c>
      <c r="K22" s="55">
        <f t="shared" si="3"/>
        <v>17.447657028913259</v>
      </c>
      <c r="L22">
        <v>9.32</v>
      </c>
      <c r="M22" s="55">
        <f t="shared" si="4"/>
        <v>41.906474820143892</v>
      </c>
      <c r="N22">
        <v>2.86</v>
      </c>
      <c r="O22" s="55">
        <f t="shared" si="5"/>
        <v>16.993464052287578</v>
      </c>
      <c r="Q22">
        <f t="shared" si="6"/>
        <v>0</v>
      </c>
      <c r="S22">
        <f t="shared" si="7"/>
        <v>0</v>
      </c>
    </row>
    <row r="23" spans="1:19">
      <c r="A23" t="s">
        <v>51</v>
      </c>
      <c r="D23">
        <v>0.35</v>
      </c>
      <c r="E23" s="55">
        <f t="shared" si="0"/>
        <v>1.0951188986232792</v>
      </c>
      <c r="F23">
        <v>0.39</v>
      </c>
      <c r="G23" s="55">
        <f t="shared" si="1"/>
        <v>1.6345347862531434</v>
      </c>
      <c r="H23">
        <v>0.28999999999999998</v>
      </c>
      <c r="I23" s="56">
        <f t="shared" si="2"/>
        <v>1.0861423220973783</v>
      </c>
      <c r="J23">
        <v>0.32</v>
      </c>
      <c r="K23" s="55">
        <f t="shared" si="3"/>
        <v>1.5952143569292125</v>
      </c>
      <c r="L23">
        <v>0.24</v>
      </c>
      <c r="M23" s="55">
        <f t="shared" si="4"/>
        <v>1.079136690647482</v>
      </c>
      <c r="N23">
        <v>0.26</v>
      </c>
      <c r="O23" s="55">
        <f t="shared" si="5"/>
        <v>1.5448603683897801</v>
      </c>
      <c r="Q23">
        <f t="shared" si="6"/>
        <v>0</v>
      </c>
      <c r="S23">
        <f t="shared" si="7"/>
        <v>0</v>
      </c>
    </row>
    <row r="24" spans="1:19">
      <c r="A24" s="52" t="s">
        <v>52</v>
      </c>
      <c r="D24" s="52">
        <v>10.5</v>
      </c>
      <c r="E24" s="54">
        <f t="shared" si="0"/>
        <v>32.853566958698373</v>
      </c>
      <c r="F24" s="52">
        <v>11.55</v>
      </c>
      <c r="G24" s="54">
        <f t="shared" si="1"/>
        <v>48.407376362112323</v>
      </c>
      <c r="H24" s="52">
        <v>8.6300000000000008</v>
      </c>
      <c r="I24" s="58">
        <f t="shared" si="2"/>
        <v>32.322097378277157</v>
      </c>
      <c r="J24" s="52">
        <v>9.49</v>
      </c>
      <c r="K24" s="54">
        <f t="shared" si="3"/>
        <v>47.30807577268196</v>
      </c>
      <c r="L24" s="52">
        <v>7.05</v>
      </c>
      <c r="M24" s="54">
        <f t="shared" si="4"/>
        <v>31.699640287769785</v>
      </c>
      <c r="N24" s="52">
        <v>7.75</v>
      </c>
      <c r="O24" s="54">
        <f t="shared" si="5"/>
        <v>46.048722519310751</v>
      </c>
      <c r="P24" s="52"/>
      <c r="Q24" s="52">
        <f t="shared" si="6"/>
        <v>0</v>
      </c>
      <c r="R24" s="52"/>
      <c r="S24" s="52">
        <f t="shared" si="7"/>
        <v>0</v>
      </c>
    </row>
    <row r="25" spans="1:19">
      <c r="A25" t="s">
        <v>53</v>
      </c>
      <c r="D25">
        <v>10.5</v>
      </c>
      <c r="E25" s="55">
        <f t="shared" si="0"/>
        <v>32.853566958698373</v>
      </c>
      <c r="F25">
        <v>11.55</v>
      </c>
      <c r="G25" s="55">
        <f t="shared" si="1"/>
        <v>48.407376362112323</v>
      </c>
      <c r="H25">
        <v>8.6300000000000008</v>
      </c>
      <c r="I25" s="56">
        <f t="shared" si="2"/>
        <v>32.322097378277157</v>
      </c>
      <c r="J25">
        <v>9.49</v>
      </c>
      <c r="K25" s="55">
        <f t="shared" si="3"/>
        <v>47.30807577268196</v>
      </c>
      <c r="L25">
        <v>7.05</v>
      </c>
      <c r="M25" s="55">
        <f t="shared" si="4"/>
        <v>31.699640287769785</v>
      </c>
      <c r="N25">
        <v>7.75</v>
      </c>
      <c r="O25" s="55">
        <f t="shared" si="5"/>
        <v>46.048722519310751</v>
      </c>
      <c r="Q25">
        <f t="shared" si="6"/>
        <v>0</v>
      </c>
      <c r="S25">
        <f t="shared" si="7"/>
        <v>0</v>
      </c>
    </row>
    <row r="26" spans="1:19">
      <c r="A26" s="52" t="s">
        <v>54</v>
      </c>
      <c r="D26" s="52">
        <v>0.4</v>
      </c>
      <c r="E26" s="54">
        <f t="shared" si="0"/>
        <v>1.2515644555694618</v>
      </c>
      <c r="F26" s="52">
        <v>0.44</v>
      </c>
      <c r="G26" s="54">
        <f t="shared" si="1"/>
        <v>1.8440905280804696</v>
      </c>
      <c r="H26" s="52">
        <v>0.33</v>
      </c>
      <c r="I26" s="58">
        <f t="shared" si="2"/>
        <v>1.2359550561797754</v>
      </c>
      <c r="J26" s="52">
        <v>0.36</v>
      </c>
      <c r="K26" s="54">
        <f t="shared" si="3"/>
        <v>1.794616151545364</v>
      </c>
      <c r="L26" s="52">
        <v>0.27</v>
      </c>
      <c r="M26" s="54">
        <f t="shared" si="4"/>
        <v>1.2140287769784173</v>
      </c>
      <c r="N26" s="52">
        <v>0.3</v>
      </c>
      <c r="O26" s="54">
        <f t="shared" si="5"/>
        <v>1.7825311942958999</v>
      </c>
      <c r="P26" s="52"/>
      <c r="Q26" s="52">
        <f t="shared" si="6"/>
        <v>0</v>
      </c>
      <c r="R26" s="52"/>
      <c r="S26" s="52">
        <f t="shared" si="7"/>
        <v>0</v>
      </c>
    </row>
    <row r="27" spans="1:19">
      <c r="A27" t="s">
        <v>55</v>
      </c>
      <c r="D27">
        <v>0.4</v>
      </c>
      <c r="E27" s="55">
        <f t="shared" si="0"/>
        <v>1.2515644555694618</v>
      </c>
      <c r="F27">
        <v>0.44</v>
      </c>
      <c r="G27" s="55">
        <f t="shared" si="1"/>
        <v>1.8440905280804696</v>
      </c>
      <c r="H27">
        <v>0.33</v>
      </c>
      <c r="I27" s="56">
        <f t="shared" si="2"/>
        <v>1.2359550561797754</v>
      </c>
      <c r="J27">
        <v>0.36</v>
      </c>
      <c r="K27" s="55">
        <f t="shared" si="3"/>
        <v>1.794616151545364</v>
      </c>
      <c r="L27">
        <v>0.27</v>
      </c>
      <c r="M27" s="55">
        <f t="shared" si="4"/>
        <v>1.2140287769784173</v>
      </c>
      <c r="N27">
        <v>0.3</v>
      </c>
      <c r="O27" s="55">
        <f t="shared" si="5"/>
        <v>1.7825311942958999</v>
      </c>
      <c r="Q27">
        <f t="shared" si="6"/>
        <v>0</v>
      </c>
      <c r="S27">
        <f t="shared" si="7"/>
        <v>0</v>
      </c>
    </row>
    <row r="28" spans="1:19">
      <c r="A28" s="52" t="s">
        <v>56</v>
      </c>
      <c r="D28" s="52">
        <v>4.4400000000000004</v>
      </c>
      <c r="E28" s="54">
        <f t="shared" si="0"/>
        <v>13.892365456821027</v>
      </c>
      <c r="F28" s="52">
        <v>4.8600000000000003</v>
      </c>
      <c r="G28" s="54">
        <f t="shared" si="1"/>
        <v>20.368818105616096</v>
      </c>
      <c r="H28" s="52">
        <v>3.65</v>
      </c>
      <c r="I28" s="58">
        <f t="shared" si="2"/>
        <v>13.670411985018728</v>
      </c>
      <c r="J28" s="52">
        <v>4.01</v>
      </c>
      <c r="K28" s="54">
        <f t="shared" si="3"/>
        <v>19.990029910269193</v>
      </c>
      <c r="L28" s="52">
        <v>2.98</v>
      </c>
      <c r="M28" s="54">
        <f t="shared" si="4"/>
        <v>13.399280575539569</v>
      </c>
      <c r="N28" s="52">
        <v>3.28</v>
      </c>
      <c r="O28" s="54">
        <f t="shared" si="5"/>
        <v>19.489007724301839</v>
      </c>
      <c r="P28" s="52"/>
      <c r="Q28" s="52">
        <f t="shared" si="6"/>
        <v>0</v>
      </c>
      <c r="R28" s="52"/>
      <c r="S28" s="52">
        <f t="shared" si="7"/>
        <v>0</v>
      </c>
    </row>
    <row r="29" spans="1:19">
      <c r="A29" t="s">
        <v>56</v>
      </c>
      <c r="D29">
        <v>4.4400000000000004</v>
      </c>
      <c r="E29" s="55">
        <f t="shared" si="0"/>
        <v>13.892365456821027</v>
      </c>
      <c r="F29">
        <v>4.8600000000000003</v>
      </c>
      <c r="G29" s="55">
        <f t="shared" si="1"/>
        <v>20.368818105616096</v>
      </c>
      <c r="H29">
        <v>3.65</v>
      </c>
      <c r="I29" s="56">
        <f t="shared" si="2"/>
        <v>13.670411985018728</v>
      </c>
      <c r="J29">
        <v>4.01</v>
      </c>
      <c r="K29" s="55">
        <f t="shared" si="3"/>
        <v>19.990029910269193</v>
      </c>
      <c r="L29">
        <v>2.98</v>
      </c>
      <c r="M29" s="55">
        <f t="shared" si="4"/>
        <v>13.399280575539569</v>
      </c>
      <c r="N29">
        <v>3.28</v>
      </c>
      <c r="O29" s="55">
        <f t="shared" si="5"/>
        <v>19.489007724301839</v>
      </c>
      <c r="Q29">
        <f t="shared" si="6"/>
        <v>0</v>
      </c>
      <c r="S29">
        <f t="shared" si="7"/>
        <v>0</v>
      </c>
    </row>
    <row r="30" spans="1:19">
      <c r="A30" s="52" t="s">
        <v>57</v>
      </c>
      <c r="D30" s="52">
        <v>2.38</v>
      </c>
      <c r="E30" s="54">
        <f t="shared" si="0"/>
        <v>7.4468085106382977</v>
      </c>
      <c r="F30" s="52">
        <v>2.38</v>
      </c>
      <c r="G30" s="54">
        <f t="shared" si="1"/>
        <v>9.9748533109807198</v>
      </c>
      <c r="H30" s="52">
        <v>2.38</v>
      </c>
      <c r="I30" s="58">
        <f t="shared" si="2"/>
        <v>8.9138576779026213</v>
      </c>
      <c r="J30" s="52">
        <v>2.38</v>
      </c>
      <c r="K30" s="54">
        <f t="shared" si="3"/>
        <v>11.864406779661017</v>
      </c>
      <c r="L30" s="52">
        <v>2.38</v>
      </c>
      <c r="M30" s="54">
        <f t="shared" si="4"/>
        <v>10.701438848920864</v>
      </c>
      <c r="N30" s="52">
        <v>2.38</v>
      </c>
      <c r="O30" s="54">
        <f t="shared" si="5"/>
        <v>14.141414141414138</v>
      </c>
      <c r="P30" s="52"/>
      <c r="Q30" s="52">
        <f t="shared" si="6"/>
        <v>0</v>
      </c>
      <c r="R30" s="52"/>
      <c r="S30" s="52">
        <f t="shared" si="7"/>
        <v>0</v>
      </c>
    </row>
    <row r="31" spans="1:19">
      <c r="A31" s="59" t="s">
        <v>58</v>
      </c>
      <c r="B31" s="59"/>
      <c r="C31" s="59"/>
      <c r="D31" s="59">
        <v>2.38</v>
      </c>
      <c r="E31" s="60">
        <f t="shared" si="0"/>
        <v>7.4468085106382977</v>
      </c>
      <c r="F31" s="59">
        <v>2.38</v>
      </c>
      <c r="G31" s="60">
        <f t="shared" si="1"/>
        <v>9.9748533109807198</v>
      </c>
      <c r="H31" s="59">
        <v>2.38</v>
      </c>
      <c r="I31" s="61">
        <f t="shared" si="2"/>
        <v>8.9138576779026213</v>
      </c>
      <c r="J31" s="59">
        <v>2.38</v>
      </c>
      <c r="K31" s="60">
        <f t="shared" si="3"/>
        <v>11.864406779661017</v>
      </c>
      <c r="L31" s="59">
        <v>2.38</v>
      </c>
      <c r="M31" s="60">
        <f t="shared" si="4"/>
        <v>10.701438848920864</v>
      </c>
      <c r="N31" s="59">
        <v>2.38</v>
      </c>
      <c r="O31" s="60">
        <f t="shared" si="5"/>
        <v>14.141414141414138</v>
      </c>
      <c r="P31" s="59"/>
      <c r="Q31" s="59">
        <f t="shared" si="6"/>
        <v>0</v>
      </c>
      <c r="R31" s="59"/>
      <c r="S31" s="59">
        <f t="shared" si="7"/>
        <v>0</v>
      </c>
    </row>
    <row r="32" spans="1:19">
      <c r="A32" s="62" t="s">
        <v>59</v>
      </c>
      <c r="B32" s="59"/>
      <c r="C32" s="59"/>
      <c r="D32" s="62">
        <f t="shared" ref="D32:S32" si="8">SUM(D21,D24,D26,D28,D30)</f>
        <v>31.96</v>
      </c>
      <c r="E32" s="63">
        <f t="shared" si="8"/>
        <v>99.999999999999986</v>
      </c>
      <c r="F32" s="62">
        <f t="shared" si="8"/>
        <v>23.86</v>
      </c>
      <c r="G32" s="63">
        <f t="shared" si="8"/>
        <v>100.00000000000001</v>
      </c>
      <c r="H32" s="62">
        <f t="shared" si="8"/>
        <v>26.7</v>
      </c>
      <c r="I32" s="63">
        <f t="shared" si="8"/>
        <v>100.00000000000003</v>
      </c>
      <c r="J32" s="64">
        <f t="shared" si="8"/>
        <v>20.059999999999999</v>
      </c>
      <c r="K32" s="63">
        <f t="shared" si="8"/>
        <v>100</v>
      </c>
      <c r="L32" s="62">
        <f t="shared" si="8"/>
        <v>22.24</v>
      </c>
      <c r="M32" s="63">
        <f t="shared" si="8"/>
        <v>100</v>
      </c>
      <c r="N32" s="62">
        <f t="shared" si="8"/>
        <v>16.830000000000002</v>
      </c>
      <c r="O32" s="63">
        <f t="shared" si="8"/>
        <v>100</v>
      </c>
      <c r="P32" s="62">
        <f t="shared" si="8"/>
        <v>0</v>
      </c>
      <c r="Q32" s="63">
        <f t="shared" si="8"/>
        <v>0</v>
      </c>
      <c r="R32" s="62">
        <f t="shared" si="8"/>
        <v>0</v>
      </c>
      <c r="S32" s="63">
        <f t="shared" si="8"/>
        <v>0</v>
      </c>
    </row>
    <row r="33" spans="1:19">
      <c r="A33" s="65" t="s">
        <v>60</v>
      </c>
      <c r="B33" s="65"/>
      <c r="C33" s="65"/>
      <c r="D33" s="66">
        <f>D32*1.1</f>
        <v>35.156000000000006</v>
      </c>
      <c r="E33" s="65"/>
      <c r="F33" s="66">
        <f>F32*1.1</f>
        <v>26.246000000000002</v>
      </c>
      <c r="G33" s="65"/>
      <c r="H33" s="66">
        <f>H32*1.1</f>
        <v>29.37</v>
      </c>
      <c r="I33" s="65"/>
      <c r="J33" s="66">
        <f>J32*1.1</f>
        <v>22.065999999999999</v>
      </c>
      <c r="K33" s="65"/>
      <c r="L33" s="66">
        <f>L32*1.1</f>
        <v>24.463999999999999</v>
      </c>
      <c r="M33" s="65"/>
      <c r="N33" s="66">
        <f>N32*1.1</f>
        <v>18.513000000000005</v>
      </c>
      <c r="O33" s="65"/>
      <c r="P33" s="66">
        <f>P32*1.1</f>
        <v>0</v>
      </c>
      <c r="Q33" s="65"/>
      <c r="R33" s="66">
        <f>R32*1.1</f>
        <v>0</v>
      </c>
      <c r="S33" s="65"/>
    </row>
    <row r="52" spans="1:12">
      <c r="A52" s="31"/>
      <c r="B52" s="31"/>
      <c r="F52" s="32"/>
      <c r="G52" s="32"/>
      <c r="H52" s="32"/>
      <c r="I52" s="32"/>
      <c r="J52" s="32"/>
      <c r="K52" s="32"/>
      <c r="L52" s="32"/>
    </row>
  </sheetData>
  <mergeCells count="2">
    <mergeCell ref="F1:F2"/>
    <mergeCell ref="J1:K2"/>
  </mergeCells>
  <conditionalFormatting sqref="P3:P6">
    <cfRule type="expression" dxfId="0" priority="2">
      <formula>LEN(TRIM(P3))=0</formula>
    </cfRule>
  </conditionalFormatting>
  <pageMargins left="0.7" right="0.7" top="0.78749999999999998" bottom="0.78749999999999998" header="0.51180555555555496" footer="0.51180555555555496"/>
  <pageSetup paperSize="9" firstPageNumber="0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Calcolatore impatto tappi PCR</vt:lpstr>
      <vt:lpstr>Quelle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Weisbecker, Catrin</dc:creator>
  <dc:description/>
  <cp:lastModifiedBy>Valentina Vorhauser</cp:lastModifiedBy>
  <cp:revision>0</cp:revision>
  <cp:lastPrinted>2022-08-01T07:33:01Z</cp:lastPrinted>
  <dcterms:created xsi:type="dcterms:W3CDTF">2022-02-21T15:26:43Z</dcterms:created>
  <dcterms:modified xsi:type="dcterms:W3CDTF">2022-09-12T08:44:26Z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2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